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uario\Documents\Personales\Jonas BK\OfertaCursosYPF\Ingeniería\"/>
    </mc:Choice>
  </mc:AlternateContent>
  <xr:revisionPtr revIDLastSave="0" documentId="13_ncr:1_{98CB2AF1-E105-4F70-B3C3-20D3923D8991}" xr6:coauthVersionLast="47" xr6:coauthVersionMax="47" xr10:uidLastSave="{00000000-0000-0000-0000-000000000000}"/>
  <bookViews>
    <workbookView xWindow="-120" yWindow="-120" windowWidth="20730" windowHeight="11160" tabRatio="615" xr2:uid="{00000000-000D-0000-FFFF-FFFF00000000}"/>
  </bookViews>
  <sheets>
    <sheet name="Croma" sheetId="11" r:id="rId1"/>
    <sheet name="RecC5+" sheetId="13" r:id="rId2"/>
    <sheet name="RecC3+" sheetId="12" r:id="rId3"/>
    <sheet name="Propiedades" sheetId="7" r:id="rId4"/>
    <sheet name="Repago" sheetId="14" state="hidden" r:id="rId5"/>
  </sheets>
  <definedNames>
    <definedName name="_xlnm.Print_Area" localSheetId="0">Croma!$M$1:$T$48</definedName>
    <definedName name="_xlnm.Print_Area" localSheetId="3">Propiedades!$A$1:$X$58</definedName>
    <definedName name="Z_761147D2_FFAF_11D1_AEA9_00600867C23B_.wvu.PrintArea" localSheetId="0" hidden="1">Croma!$M$1:$T$48</definedName>
    <definedName name="Z_761147D2_FFAF_11D1_AEA9_00600867C23B_.wvu.PrintArea" localSheetId="3" hidden="1">Propiedades!$A$1:$X$56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3" l="1"/>
  <c r="L84" i="12"/>
  <c r="L78" i="12"/>
  <c r="L75" i="12"/>
  <c r="C13" i="12"/>
  <c r="E13" i="12"/>
  <c r="C14" i="12"/>
  <c r="E14" i="12"/>
  <c r="C15" i="12"/>
  <c r="E15" i="12"/>
  <c r="C16" i="12"/>
  <c r="E16" i="12"/>
  <c r="C17" i="12"/>
  <c r="E17" i="12"/>
  <c r="C18" i="12"/>
  <c r="E18" i="12"/>
  <c r="C19" i="12"/>
  <c r="E19" i="12"/>
  <c r="C20" i="12"/>
  <c r="E20" i="12"/>
  <c r="C21" i="12"/>
  <c r="E21" i="12"/>
  <c r="C22" i="12"/>
  <c r="E22" i="12"/>
  <c r="C23" i="12"/>
  <c r="E23" i="12"/>
  <c r="C24" i="12"/>
  <c r="E24" i="12"/>
  <c r="E26" i="12"/>
  <c r="E54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G26" i="12"/>
  <c r="F54" i="12"/>
  <c r="G54" i="12"/>
  <c r="E74" i="12"/>
  <c r="K67" i="12"/>
  <c r="F72" i="12"/>
  <c r="F74" i="12"/>
  <c r="G74" i="12"/>
  <c r="C37" i="12"/>
  <c r="E37" i="12"/>
  <c r="E45" i="12"/>
  <c r="E55" i="12"/>
  <c r="E75" i="12"/>
  <c r="F75" i="12"/>
  <c r="G75" i="12"/>
  <c r="C38" i="12"/>
  <c r="F38" i="12"/>
  <c r="E56" i="12"/>
  <c r="E76" i="12"/>
  <c r="F78" i="12"/>
  <c r="F76" i="12"/>
  <c r="G76" i="12"/>
  <c r="C39" i="12"/>
  <c r="F39" i="12"/>
  <c r="E57" i="12"/>
  <c r="E77" i="12"/>
  <c r="F77" i="12"/>
  <c r="G77" i="12"/>
  <c r="F45" i="12"/>
  <c r="E58" i="12"/>
  <c r="E78" i="12"/>
  <c r="G78" i="12"/>
  <c r="C40" i="12"/>
  <c r="G40" i="12"/>
  <c r="E59" i="12"/>
  <c r="E79" i="12"/>
  <c r="L67" i="12"/>
  <c r="F84" i="12"/>
  <c r="F79" i="12"/>
  <c r="G79" i="12"/>
  <c r="C41" i="12"/>
  <c r="G41" i="12"/>
  <c r="E60" i="12"/>
  <c r="E80" i="12"/>
  <c r="F80" i="12"/>
  <c r="G80" i="12"/>
  <c r="C42" i="12"/>
  <c r="G42" i="12"/>
  <c r="E61" i="12"/>
  <c r="E81" i="12"/>
  <c r="F81" i="12"/>
  <c r="G81" i="12"/>
  <c r="C43" i="12"/>
  <c r="G43" i="12"/>
  <c r="E62" i="12"/>
  <c r="E82" i="12"/>
  <c r="F82" i="12"/>
  <c r="G82" i="12"/>
  <c r="C44" i="12"/>
  <c r="G44" i="12"/>
  <c r="E63" i="12"/>
  <c r="E83" i="12"/>
  <c r="F83" i="12"/>
  <c r="G83" i="12"/>
  <c r="G45" i="12"/>
  <c r="E64" i="12"/>
  <c r="E84" i="12"/>
  <c r="G84" i="12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39" i="11"/>
  <c r="P32" i="11"/>
  <c r="G6" i="12"/>
  <c r="F52" i="12"/>
  <c r="G52" i="12"/>
  <c r="E72" i="12"/>
  <c r="G72" i="12"/>
  <c r="G85" i="12"/>
  <c r="C14" i="14"/>
  <c r="D14" i="14"/>
  <c r="B14" i="14"/>
  <c r="C13" i="13"/>
  <c r="E13" i="13"/>
  <c r="C14" i="13"/>
  <c r="E14" i="13"/>
  <c r="C15" i="13"/>
  <c r="E15" i="13"/>
  <c r="C16" i="13"/>
  <c r="E16" i="13"/>
  <c r="C17" i="13"/>
  <c r="E17" i="13"/>
  <c r="C18" i="13"/>
  <c r="E18" i="13"/>
  <c r="C19" i="13"/>
  <c r="E19" i="13"/>
  <c r="C20" i="13"/>
  <c r="E20" i="13"/>
  <c r="C21" i="13"/>
  <c r="E21" i="13"/>
  <c r="C22" i="13"/>
  <c r="E22" i="13"/>
  <c r="C23" i="13"/>
  <c r="E23" i="13"/>
  <c r="C24" i="13"/>
  <c r="E24" i="13"/>
  <c r="E26" i="13"/>
  <c r="E54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G26" i="13"/>
  <c r="F54" i="13"/>
  <c r="G54" i="13"/>
  <c r="E72" i="13"/>
  <c r="F70" i="13"/>
  <c r="F72" i="13"/>
  <c r="G72" i="13"/>
  <c r="C38" i="13"/>
  <c r="G38" i="13"/>
  <c r="E55" i="13"/>
  <c r="E73" i="13"/>
  <c r="F80" i="13"/>
  <c r="F78" i="13"/>
  <c r="F73" i="13"/>
  <c r="G73" i="13"/>
  <c r="C39" i="13"/>
  <c r="G39" i="13"/>
  <c r="E56" i="13"/>
  <c r="E74" i="13"/>
  <c r="F79" i="13"/>
  <c r="F74" i="13"/>
  <c r="G74" i="13"/>
  <c r="C40" i="13"/>
  <c r="G40" i="13"/>
  <c r="E57" i="13"/>
  <c r="E75" i="13"/>
  <c r="F75" i="13"/>
  <c r="G75" i="13"/>
  <c r="C41" i="13"/>
  <c r="G41" i="13"/>
  <c r="E58" i="13"/>
  <c r="E76" i="13"/>
  <c r="F76" i="13"/>
  <c r="G76" i="13"/>
  <c r="C42" i="13"/>
  <c r="G42" i="13"/>
  <c r="E59" i="13"/>
  <c r="E77" i="13"/>
  <c r="F77" i="13"/>
  <c r="G77" i="13"/>
  <c r="C43" i="13"/>
  <c r="G43" i="13"/>
  <c r="E60" i="13"/>
  <c r="E78" i="13"/>
  <c r="G78" i="13"/>
  <c r="C44" i="13"/>
  <c r="G44" i="13"/>
  <c r="E61" i="13"/>
  <c r="E79" i="13"/>
  <c r="G79" i="13"/>
  <c r="G45" i="13"/>
  <c r="E62" i="13"/>
  <c r="E80" i="13"/>
  <c r="G80" i="13"/>
  <c r="G6" i="13"/>
  <c r="F52" i="13"/>
  <c r="G52" i="13"/>
  <c r="E70" i="13"/>
  <c r="G70" i="13"/>
  <c r="G81" i="13"/>
  <c r="B9" i="14"/>
  <c r="D9" i="14"/>
  <c r="C9" i="14"/>
  <c r="C8" i="14"/>
  <c r="C10" i="14"/>
  <c r="C13" i="14"/>
  <c r="C15" i="14"/>
  <c r="D13" i="14"/>
  <c r="B13" i="14"/>
  <c r="D8" i="14"/>
  <c r="B8" i="14"/>
  <c r="O12" i="11"/>
  <c r="F55" i="13"/>
  <c r="F56" i="13"/>
  <c r="D38" i="13"/>
  <c r="D39" i="13"/>
  <c r="G25" i="12"/>
  <c r="C25" i="12"/>
  <c r="E25" i="12"/>
  <c r="G25" i="13"/>
  <c r="C25" i="13"/>
  <c r="E25" i="13"/>
  <c r="P7" i="11"/>
  <c r="O23" i="11"/>
  <c r="O24" i="11"/>
  <c r="Z22" i="11"/>
  <c r="Y22" i="11"/>
  <c r="X22" i="11"/>
  <c r="W22" i="11"/>
  <c r="V22" i="11"/>
  <c r="U22" i="11"/>
  <c r="D6" i="13"/>
  <c r="D6" i="12"/>
  <c r="C71" i="13"/>
  <c r="F61" i="13"/>
  <c r="K79" i="13"/>
  <c r="F60" i="13"/>
  <c r="F59" i="13"/>
  <c r="K77" i="13"/>
  <c r="F58" i="13"/>
  <c r="F57" i="13"/>
  <c r="D44" i="13"/>
  <c r="D43" i="13"/>
  <c r="D42" i="13"/>
  <c r="D41" i="13"/>
  <c r="D40" i="13"/>
  <c r="G16" i="13"/>
  <c r="G14" i="13"/>
  <c r="G13" i="13"/>
  <c r="L82" i="12"/>
  <c r="F60" i="12"/>
  <c r="F61" i="12"/>
  <c r="F62" i="12"/>
  <c r="F63" i="12"/>
  <c r="F59" i="12"/>
  <c r="D41" i="12"/>
  <c r="D42" i="12"/>
  <c r="D43" i="12"/>
  <c r="D44" i="12"/>
  <c r="D40" i="12"/>
  <c r="G14" i="12"/>
  <c r="G13" i="12"/>
  <c r="C73" i="12"/>
  <c r="Q46" i="11"/>
  <c r="P46" i="11"/>
  <c r="Q45" i="11"/>
  <c r="P45" i="11"/>
  <c r="Q44" i="11"/>
  <c r="P44" i="11"/>
  <c r="R42" i="11"/>
  <c r="Q42" i="11"/>
  <c r="P42" i="11"/>
  <c r="O42" i="11"/>
  <c r="R41" i="11"/>
  <c r="Q41" i="11"/>
  <c r="P41" i="11"/>
  <c r="O41" i="11"/>
  <c r="R24" i="11"/>
  <c r="Q24" i="11"/>
  <c r="P24" i="11"/>
  <c r="R23" i="11"/>
  <c r="Q23" i="11"/>
  <c r="P23" i="11"/>
  <c r="O22" i="11"/>
  <c r="O21" i="11"/>
  <c r="O20" i="11"/>
  <c r="O19" i="11"/>
  <c r="O18" i="11"/>
  <c r="O17" i="11"/>
  <c r="O16" i="11"/>
  <c r="O15" i="11"/>
  <c r="O14" i="11"/>
  <c r="O13" i="11"/>
  <c r="O11" i="11"/>
  <c r="O10" i="11"/>
  <c r="R7" i="11"/>
  <c r="P6" i="11"/>
  <c r="E26" i="7"/>
  <c r="E27" i="7"/>
  <c r="E13" i="7"/>
  <c r="E14" i="7"/>
  <c r="E15" i="7"/>
  <c r="E16" i="7"/>
  <c r="E17" i="7"/>
  <c r="E19" i="7"/>
  <c r="E20" i="7"/>
  <c r="E21" i="7"/>
  <c r="E22" i="7"/>
  <c r="E23" i="7"/>
  <c r="E29" i="7"/>
  <c r="N40" i="7"/>
  <c r="N43" i="7"/>
  <c r="N45" i="7"/>
  <c r="O45" i="7"/>
  <c r="N47" i="7"/>
  <c r="O47" i="7"/>
  <c r="K42" i="7"/>
  <c r="M42" i="7"/>
  <c r="E18" i="7"/>
  <c r="N42" i="7"/>
  <c r="O42" i="7"/>
  <c r="Q18" i="7"/>
  <c r="K18" i="7"/>
  <c r="M18" i="7"/>
  <c r="S18" i="7"/>
  <c r="U18" i="7"/>
  <c r="O18" i="7"/>
  <c r="F18" i="7"/>
  <c r="L5" i="7"/>
  <c r="K13" i="7"/>
  <c r="M13" i="7"/>
  <c r="O13" i="7"/>
  <c r="Q13" i="7"/>
  <c r="S13" i="7"/>
  <c r="U13" i="7"/>
  <c r="G14" i="7"/>
  <c r="K14" i="7"/>
  <c r="G16" i="12"/>
  <c r="M14" i="7"/>
  <c r="O14" i="7"/>
  <c r="Q14" i="7"/>
  <c r="S14" i="7"/>
  <c r="U14" i="7"/>
  <c r="K15" i="7"/>
  <c r="M15" i="7"/>
  <c r="O15" i="7"/>
  <c r="Q15" i="7"/>
  <c r="S15" i="7"/>
  <c r="U15" i="7"/>
  <c r="F16" i="7"/>
  <c r="D38" i="12"/>
  <c r="G16" i="7"/>
  <c r="K16" i="7"/>
  <c r="G18" i="13"/>
  <c r="G18" i="12"/>
  <c r="M16" i="7"/>
  <c r="O16" i="7"/>
  <c r="Q16" i="7"/>
  <c r="S16" i="7"/>
  <c r="U16" i="7"/>
  <c r="K17" i="7"/>
  <c r="G19" i="13"/>
  <c r="G19" i="12"/>
  <c r="M17" i="7"/>
  <c r="O17" i="7"/>
  <c r="Q17" i="7"/>
  <c r="S17" i="7"/>
  <c r="U17" i="7"/>
  <c r="F19" i="7"/>
  <c r="G19" i="7"/>
  <c r="K19" i="7"/>
  <c r="G20" i="12"/>
  <c r="M19" i="7"/>
  <c r="O19" i="7"/>
  <c r="Q19" i="7"/>
  <c r="S19" i="7"/>
  <c r="U19" i="7"/>
  <c r="K20" i="7"/>
  <c r="G21" i="13"/>
  <c r="G21" i="12"/>
  <c r="M20" i="7"/>
  <c r="O20" i="7"/>
  <c r="Q20" i="7"/>
  <c r="S20" i="7"/>
  <c r="U20" i="7"/>
  <c r="F21" i="7"/>
  <c r="G21" i="7"/>
  <c r="K21" i="7"/>
  <c r="M21" i="7"/>
  <c r="O21" i="7"/>
  <c r="Q21" i="7"/>
  <c r="S21" i="7"/>
  <c r="U21" i="7"/>
  <c r="K22" i="7"/>
  <c r="G23" i="13"/>
  <c r="G23" i="12"/>
  <c r="M22" i="7"/>
  <c r="O22" i="7"/>
  <c r="Q22" i="7"/>
  <c r="S22" i="7"/>
  <c r="U22" i="7"/>
  <c r="F23" i="7"/>
  <c r="G23" i="7"/>
  <c r="K23" i="7"/>
  <c r="G24" i="12"/>
  <c r="M23" i="7"/>
  <c r="O23" i="7"/>
  <c r="Q23" i="7"/>
  <c r="S23" i="7"/>
  <c r="U23" i="7"/>
  <c r="E24" i="7"/>
  <c r="G24" i="7"/>
  <c r="F24" i="7"/>
  <c r="K24" i="7"/>
  <c r="M24" i="7"/>
  <c r="O24" i="7"/>
  <c r="Q24" i="7"/>
  <c r="S24" i="7"/>
  <c r="U24" i="7"/>
  <c r="E25" i="7"/>
  <c r="K25" i="7"/>
  <c r="M25" i="7"/>
  <c r="O25" i="7"/>
  <c r="Q25" i="7"/>
  <c r="S25" i="7"/>
  <c r="U25" i="7"/>
  <c r="F26" i="7"/>
  <c r="G26" i="7"/>
  <c r="G27" i="7"/>
  <c r="E28" i="7"/>
  <c r="K28" i="7"/>
  <c r="M28" i="7"/>
  <c r="O28" i="7"/>
  <c r="Q28" i="7"/>
  <c r="S28" i="7"/>
  <c r="U28" i="7"/>
  <c r="F29" i="7"/>
  <c r="E30" i="7"/>
  <c r="F30" i="7"/>
  <c r="G30" i="7"/>
  <c r="K30" i="7"/>
  <c r="M30" i="7"/>
  <c r="O30" i="7"/>
  <c r="F31" i="7"/>
  <c r="G31" i="7"/>
  <c r="K37" i="7"/>
  <c r="M37" i="7"/>
  <c r="K38" i="7"/>
  <c r="M38" i="7"/>
  <c r="K39" i="7"/>
  <c r="M39" i="7"/>
  <c r="K40" i="7"/>
  <c r="M40" i="7"/>
  <c r="O40" i="7"/>
  <c r="K41" i="7"/>
  <c r="M41" i="7"/>
  <c r="K43" i="7"/>
  <c r="M43" i="7"/>
  <c r="O43" i="7"/>
  <c r="K44" i="7"/>
  <c r="M44" i="7"/>
  <c r="K45" i="7"/>
  <c r="M45" i="7"/>
  <c r="K46" i="7"/>
  <c r="M46" i="7"/>
  <c r="K47" i="7"/>
  <c r="M47" i="7"/>
  <c r="K48" i="7"/>
  <c r="M48" i="7"/>
  <c r="N48" i="7"/>
  <c r="O48" i="7"/>
  <c r="K49" i="7"/>
  <c r="M49" i="7"/>
  <c r="K50" i="7"/>
  <c r="M50" i="7"/>
  <c r="K51" i="7"/>
  <c r="M51" i="7"/>
  <c r="K52" i="7"/>
  <c r="M52" i="7"/>
  <c r="K53" i="7"/>
  <c r="M53" i="7"/>
  <c r="K54" i="7"/>
  <c r="M54" i="7"/>
  <c r="N54" i="7"/>
  <c r="O54" i="7"/>
  <c r="K55" i="7"/>
  <c r="M55" i="7"/>
  <c r="N55" i="7"/>
  <c r="O55" i="7"/>
  <c r="V11" i="11"/>
  <c r="Y11" i="11"/>
  <c r="V17" i="11"/>
  <c r="Y17" i="11"/>
  <c r="X14" i="11"/>
  <c r="X20" i="11"/>
  <c r="Z20" i="11"/>
  <c r="X15" i="11"/>
  <c r="Z15" i="11"/>
  <c r="U11" i="11"/>
  <c r="G18" i="7"/>
  <c r="N53" i="7"/>
  <c r="O53" i="7"/>
  <c r="N46" i="7"/>
  <c r="O46" i="7"/>
  <c r="N44" i="7"/>
  <c r="O44" i="7"/>
  <c r="N39" i="7"/>
  <c r="O39" i="7"/>
  <c r="N37" i="7"/>
  <c r="O37" i="7"/>
  <c r="N50" i="7"/>
  <c r="O50" i="7"/>
  <c r="X19" i="11"/>
  <c r="Z19" i="11"/>
  <c r="X10" i="11"/>
  <c r="Z10" i="11"/>
  <c r="X11" i="11"/>
  <c r="V10" i="11"/>
  <c r="W11" i="11"/>
  <c r="K76" i="13"/>
  <c r="K80" i="12"/>
  <c r="G29" i="7"/>
  <c r="F17" i="7"/>
  <c r="G17" i="7"/>
  <c r="N41" i="7"/>
  <c r="G28" i="7"/>
  <c r="N52" i="7"/>
  <c r="O52" i="7"/>
  <c r="F28" i="7"/>
  <c r="F15" i="7"/>
  <c r="D37" i="12"/>
  <c r="G15" i="7"/>
  <c r="F20" i="7"/>
  <c r="G20" i="7"/>
  <c r="L83" i="12"/>
  <c r="F22" i="7"/>
  <c r="G22" i="7"/>
  <c r="F13" i="7"/>
  <c r="G13" i="7"/>
  <c r="O41" i="7"/>
  <c r="K82" i="12"/>
  <c r="K83" i="12"/>
  <c r="K79" i="12"/>
  <c r="F73" i="12"/>
  <c r="K78" i="13"/>
  <c r="F71" i="13"/>
  <c r="K75" i="13"/>
  <c r="L79" i="13"/>
  <c r="L74" i="13"/>
  <c r="M77" i="13"/>
  <c r="L76" i="13"/>
  <c r="L77" i="13"/>
  <c r="L78" i="13"/>
  <c r="L73" i="13"/>
  <c r="L75" i="13"/>
  <c r="K81" i="12"/>
  <c r="V13" i="11"/>
  <c r="V14" i="11"/>
  <c r="C34" i="13"/>
  <c r="X16" i="11"/>
  <c r="Z16" i="11"/>
  <c r="X17" i="11"/>
  <c r="Z17" i="11"/>
  <c r="V12" i="11"/>
  <c r="Y12" i="11"/>
  <c r="V19" i="11"/>
  <c r="Y19" i="11"/>
  <c r="Z11" i="11"/>
  <c r="Z14" i="11"/>
  <c r="C34" i="12"/>
  <c r="U10" i="11"/>
  <c r="W16" i="11"/>
  <c r="F6" i="13"/>
  <c r="U14" i="11"/>
  <c r="V21" i="11"/>
  <c r="V16" i="11"/>
  <c r="Y16" i="11"/>
  <c r="V18" i="11"/>
  <c r="Y18" i="11"/>
  <c r="X12" i="11"/>
  <c r="Z12" i="11"/>
  <c r="W20" i="11"/>
  <c r="W10" i="11"/>
  <c r="V15" i="11"/>
  <c r="Y15" i="11"/>
  <c r="X18" i="11"/>
  <c r="Z18" i="11"/>
  <c r="X13" i="11"/>
  <c r="X25" i="11"/>
  <c r="X21" i="11"/>
  <c r="Z21" i="11"/>
  <c r="V20" i="11"/>
  <c r="Y20" i="11"/>
  <c r="Y21" i="11"/>
  <c r="D39" i="12"/>
  <c r="Y13" i="11"/>
  <c r="V25" i="11"/>
  <c r="AE16" i="11"/>
  <c r="Y10" i="11"/>
  <c r="F57" i="12"/>
  <c r="G15" i="13"/>
  <c r="G15" i="12"/>
  <c r="F25" i="7"/>
  <c r="N49" i="7"/>
  <c r="O49" i="7"/>
  <c r="G25" i="7"/>
  <c r="Y14" i="11"/>
  <c r="G22" i="12"/>
  <c r="G22" i="13"/>
  <c r="G17" i="12"/>
  <c r="G17" i="13"/>
  <c r="N51" i="7"/>
  <c r="F27" i="7"/>
  <c r="L79" i="12"/>
  <c r="L80" i="12"/>
  <c r="L81" i="12"/>
  <c r="G20" i="13"/>
  <c r="F56" i="12"/>
  <c r="N38" i="7"/>
  <c r="O38" i="7"/>
  <c r="F14" i="7"/>
  <c r="G24" i="13"/>
  <c r="F6" i="12"/>
  <c r="F55" i="12"/>
  <c r="K75" i="12"/>
  <c r="M75" i="13"/>
  <c r="E53" i="13"/>
  <c r="M76" i="13"/>
  <c r="E52" i="13"/>
  <c r="AH10" i="11"/>
  <c r="AH25" i="11"/>
  <c r="AH20" i="11"/>
  <c r="AH19" i="11"/>
  <c r="AH17" i="11"/>
  <c r="AH21" i="11"/>
  <c r="AH12" i="11"/>
  <c r="AH15" i="11"/>
  <c r="AH16" i="11"/>
  <c r="W14" i="11"/>
  <c r="AH14" i="11"/>
  <c r="AH22" i="11"/>
  <c r="U16" i="11"/>
  <c r="U20" i="11"/>
  <c r="AH11" i="11"/>
  <c r="U19" i="11"/>
  <c r="W19" i="11"/>
  <c r="W17" i="11"/>
  <c r="U17" i="11"/>
  <c r="AH18" i="11"/>
  <c r="AE21" i="11"/>
  <c r="W18" i="11"/>
  <c r="U18" i="11"/>
  <c r="U12" i="11"/>
  <c r="W12" i="11"/>
  <c r="AE15" i="11"/>
  <c r="U15" i="11"/>
  <c r="W15" i="11"/>
  <c r="W21" i="11"/>
  <c r="U21" i="11"/>
  <c r="Z13" i="11"/>
  <c r="AH13" i="11"/>
  <c r="U13" i="11"/>
  <c r="W13" i="11"/>
  <c r="E52" i="12"/>
  <c r="E53" i="12"/>
  <c r="K76" i="12"/>
  <c r="O51" i="7"/>
  <c r="K74" i="13"/>
  <c r="AE10" i="11"/>
  <c r="AE25" i="11"/>
  <c r="AE13" i="11"/>
  <c r="K73" i="13"/>
  <c r="K77" i="12"/>
  <c r="Y25" i="11"/>
  <c r="AF15" i="11"/>
  <c r="M81" i="12"/>
  <c r="M79" i="12"/>
  <c r="M83" i="12"/>
  <c r="M82" i="12"/>
  <c r="M80" i="12"/>
  <c r="AE19" i="11"/>
  <c r="AE17" i="11"/>
  <c r="AE22" i="11"/>
  <c r="AE11" i="11"/>
  <c r="AE18" i="11"/>
  <c r="AE20" i="11"/>
  <c r="AE12" i="11"/>
  <c r="AE14" i="11"/>
  <c r="M78" i="13"/>
  <c r="M79" i="13"/>
  <c r="C26" i="13"/>
  <c r="W25" i="11"/>
  <c r="AC15" i="11"/>
  <c r="R15" i="11"/>
  <c r="U25" i="11"/>
  <c r="AB16" i="11"/>
  <c r="Q16" i="11"/>
  <c r="Z25" i="11"/>
  <c r="C33" i="13"/>
  <c r="C37" i="13"/>
  <c r="E45" i="13"/>
  <c r="C26" i="12"/>
  <c r="C33" i="12"/>
  <c r="G55" i="12"/>
  <c r="C35" i="12"/>
  <c r="G63" i="12"/>
  <c r="C36" i="13"/>
  <c r="P28" i="11"/>
  <c r="P33" i="11"/>
  <c r="Q33" i="11"/>
  <c r="P25" i="11"/>
  <c r="P30" i="11"/>
  <c r="V34" i="11"/>
  <c r="C35" i="13"/>
  <c r="C36" i="12"/>
  <c r="AF19" i="11"/>
  <c r="AF11" i="11"/>
  <c r="AF22" i="11"/>
  <c r="AF17" i="11"/>
  <c r="AF12" i="11"/>
  <c r="AF18" i="11"/>
  <c r="AF20" i="11"/>
  <c r="AF21" i="11"/>
  <c r="AF16" i="11"/>
  <c r="AF14" i="11"/>
  <c r="AF13" i="11"/>
  <c r="G62" i="12"/>
  <c r="AF10" i="11"/>
  <c r="AF25" i="11"/>
  <c r="F62" i="13"/>
  <c r="G60" i="12"/>
  <c r="J80" i="12"/>
  <c r="AB17" i="11"/>
  <c r="Q17" i="11"/>
  <c r="AB15" i="11"/>
  <c r="Q15" i="11"/>
  <c r="AC18" i="11"/>
  <c r="R18" i="11"/>
  <c r="AC12" i="11"/>
  <c r="R12" i="11"/>
  <c r="C45" i="12"/>
  <c r="J35" i="12"/>
  <c r="C45" i="13"/>
  <c r="J35" i="13"/>
  <c r="AC17" i="11"/>
  <c r="R17" i="11"/>
  <c r="AC10" i="11"/>
  <c r="AC20" i="11"/>
  <c r="R20" i="11"/>
  <c r="AC13" i="11"/>
  <c r="R13" i="11"/>
  <c r="AC16" i="11"/>
  <c r="R16" i="11"/>
  <c r="AC14" i="11"/>
  <c r="R14" i="11"/>
  <c r="AC11" i="11"/>
  <c r="R11" i="11"/>
  <c r="AC22" i="11"/>
  <c r="R22" i="11"/>
  <c r="AC21" i="11"/>
  <c r="R21" i="11"/>
  <c r="G57" i="12"/>
  <c r="AC19" i="11"/>
  <c r="R19" i="11"/>
  <c r="AB18" i="11"/>
  <c r="Q18" i="11"/>
  <c r="AB11" i="11"/>
  <c r="Q11" i="11"/>
  <c r="AB12" i="11"/>
  <c r="Q12" i="11"/>
  <c r="AB22" i="11"/>
  <c r="Q22" i="11"/>
  <c r="AB21" i="11"/>
  <c r="Q21" i="11"/>
  <c r="AB20" i="11"/>
  <c r="Q20" i="11"/>
  <c r="AB19" i="11"/>
  <c r="Q19" i="11"/>
  <c r="AB10" i="11"/>
  <c r="AB14" i="11"/>
  <c r="Q14" i="11"/>
  <c r="AB13" i="11"/>
  <c r="Q13" i="11"/>
  <c r="AI10" i="11"/>
  <c r="AI25" i="11"/>
  <c r="AI11" i="11"/>
  <c r="AI20" i="11"/>
  <c r="AI18" i="11"/>
  <c r="AI15" i="11"/>
  <c r="AI14" i="11"/>
  <c r="AI22" i="11"/>
  <c r="AI19" i="11"/>
  <c r="AI17" i="11"/>
  <c r="AI12" i="11"/>
  <c r="AI16" i="11"/>
  <c r="AI21" i="11"/>
  <c r="AI13" i="11"/>
  <c r="J83" i="12"/>
  <c r="P31" i="11"/>
  <c r="G60" i="13"/>
  <c r="G56" i="13"/>
  <c r="F45" i="13"/>
  <c r="G61" i="12"/>
  <c r="J81" i="12"/>
  <c r="F58" i="12"/>
  <c r="G58" i="13"/>
  <c r="G59" i="13"/>
  <c r="G61" i="13"/>
  <c r="F64" i="12"/>
  <c r="J82" i="12"/>
  <c r="P29" i="11"/>
  <c r="P34" i="11"/>
  <c r="Q34" i="11"/>
  <c r="J79" i="13"/>
  <c r="F25" i="12"/>
  <c r="F25" i="13"/>
  <c r="AC25" i="11"/>
  <c r="R10" i="11"/>
  <c r="AB25" i="11"/>
  <c r="Q10" i="11"/>
  <c r="Q25" i="11"/>
  <c r="J77" i="13"/>
  <c r="J78" i="13"/>
  <c r="P35" i="11"/>
  <c r="Q32" i="11"/>
  <c r="Q35" i="11"/>
  <c r="G56" i="12"/>
  <c r="G57" i="13"/>
  <c r="K84" i="12"/>
  <c r="M84" i="12"/>
  <c r="G64" i="12"/>
  <c r="K78" i="12"/>
  <c r="G58" i="12"/>
  <c r="K80" i="13"/>
  <c r="M80" i="13"/>
  <c r="G62" i="13"/>
  <c r="G55" i="13"/>
  <c r="H62" i="13"/>
  <c r="G59" i="12"/>
  <c r="H84" i="12"/>
  <c r="J76" i="13"/>
  <c r="H64" i="12"/>
  <c r="J81" i="13"/>
  <c r="F26" i="12"/>
  <c r="F26" i="13"/>
  <c r="P36" i="11"/>
  <c r="R25" i="11"/>
  <c r="P37" i="11"/>
  <c r="H58" i="12"/>
  <c r="J75" i="13"/>
  <c r="J84" i="12"/>
  <c r="F53" i="12"/>
  <c r="G53" i="12"/>
  <c r="E73" i="12"/>
  <c r="G73" i="12"/>
  <c r="F53" i="13"/>
  <c r="G53" i="13"/>
  <c r="E71" i="13"/>
  <c r="G71" i="13"/>
  <c r="J79" i="12"/>
  <c r="J80" i="13"/>
  <c r="M75" i="12"/>
  <c r="L76" i="12"/>
  <c r="L77" i="12"/>
  <c r="G63" i="13"/>
  <c r="M81" i="13"/>
  <c r="P38" i="11"/>
  <c r="G65" i="12"/>
  <c r="J38" i="12"/>
  <c r="J38" i="13"/>
  <c r="M74" i="13"/>
  <c r="J74" i="13"/>
  <c r="J75" i="12"/>
  <c r="M73" i="13"/>
  <c r="M78" i="12"/>
  <c r="J85" i="12"/>
  <c r="M85" i="12"/>
  <c r="H80" i="13"/>
  <c r="M76" i="12"/>
  <c r="J76" i="12"/>
  <c r="M77" i="12"/>
  <c r="J77" i="12"/>
  <c r="J78" i="12"/>
  <c r="J73" i="13"/>
  <c r="K67" i="13"/>
  <c r="L67" i="13"/>
  <c r="B10" i="14"/>
  <c r="D10" i="14"/>
  <c r="H78" i="12"/>
  <c r="K69" i="12"/>
  <c r="L69" i="12"/>
  <c r="B15" i="14"/>
  <c r="D15" i="14"/>
</calcChain>
</file>

<file path=xl/sharedStrings.xml><?xml version="1.0" encoding="utf-8"?>
<sst xmlns="http://schemas.openxmlformats.org/spreadsheetml/2006/main" count="535" uniqueCount="262">
  <si>
    <t>INGRESO DE DATOS</t>
  </si>
  <si>
    <t>INFORME S/CARACTERISTICAS DEL GAS NATURAL</t>
  </si>
  <si>
    <t>Punto de Muestreo:</t>
  </si>
  <si>
    <t>Fecha de Muestreo:</t>
  </si>
  <si>
    <t>Componentes</t>
  </si>
  <si>
    <t>% Molar</t>
  </si>
  <si>
    <t>% Volumen</t>
  </si>
  <si>
    <t>% Masa</t>
  </si>
  <si>
    <t>%molar -&gt; Dato</t>
  </si>
  <si>
    <t>%volumen -&gt; Dato</t>
  </si>
  <si>
    <t>%masa -&gt; Dato</t>
  </si>
  <si>
    <t>N2</t>
  </si>
  <si>
    <t>ni x Zi</t>
  </si>
  <si>
    <t>vi / Zi</t>
  </si>
  <si>
    <t>ni x Mi</t>
  </si>
  <si>
    <t>gi / Mi</t>
  </si>
  <si>
    <t>vi / Zi x Mi</t>
  </si>
  <si>
    <t>gi / Mi x Zi</t>
  </si>
  <si>
    <t>%volumen</t>
  </si>
  <si>
    <t>%masa</t>
  </si>
  <si>
    <t>%molar</t>
  </si>
  <si>
    <t>CO2</t>
  </si>
  <si>
    <t>CH4</t>
  </si>
  <si>
    <t>C2H6</t>
  </si>
  <si>
    <t>C3H8</t>
  </si>
  <si>
    <t>iC4H10</t>
  </si>
  <si>
    <t>nC4H10</t>
  </si>
  <si>
    <t>iC5H12</t>
  </si>
  <si>
    <t>nC5H12</t>
  </si>
  <si>
    <t>C6H14</t>
  </si>
  <si>
    <t>C7H16</t>
  </si>
  <si>
    <t>C8H18+</t>
  </si>
  <si>
    <t>SH2</t>
  </si>
  <si>
    <r>
      <t>ppmv ¦ mg/m</t>
    </r>
    <r>
      <rPr>
        <vertAlign val="superscript"/>
        <sz val="10"/>
        <rFont val="Arial"/>
        <family val="2"/>
      </rPr>
      <t>3</t>
    </r>
  </si>
  <si>
    <t>Presión  (Bar)</t>
  </si>
  <si>
    <t>N°Strokes</t>
  </si>
  <si>
    <t>Total</t>
  </si>
  <si>
    <t>Temperatura  (°C)</t>
  </si>
  <si>
    <t>ID Muestra</t>
  </si>
  <si>
    <t>Propiedades</t>
  </si>
  <si>
    <t>s/ISO6976/GPA2145</t>
  </si>
  <si>
    <t>Equipo Utilizado</t>
  </si>
  <si>
    <t>Marca/Modelo</t>
  </si>
  <si>
    <t>PM(kg/kmol)</t>
  </si>
  <si>
    <t>Precisión/Norma</t>
  </si>
  <si>
    <r>
      <t>Vm(m</t>
    </r>
    <r>
      <rPr>
        <vertAlign val="superscript"/>
        <sz val="10"/>
        <rFont val="Arial"/>
      </rPr>
      <t>3</t>
    </r>
    <r>
      <rPr>
        <sz val="10"/>
        <rFont val="Arial"/>
      </rPr>
      <t>/kmol)</t>
    </r>
  </si>
  <si>
    <t>Gas Patrón</t>
  </si>
  <si>
    <t>DENS.(abs.)</t>
  </si>
  <si>
    <t>DENS.(relat.)</t>
  </si>
  <si>
    <r>
      <t>PCs(kcal/m</t>
    </r>
    <r>
      <rPr>
        <vertAlign val="superscript"/>
        <sz val="10"/>
        <rFont val="Arial"/>
      </rPr>
      <t>3</t>
    </r>
    <r>
      <rPr>
        <sz val="10"/>
        <rFont val="Arial"/>
      </rPr>
      <t>)</t>
    </r>
  </si>
  <si>
    <r>
      <t>MJ/m</t>
    </r>
    <r>
      <rPr>
        <vertAlign val="superscript"/>
        <sz val="10"/>
        <rFont val="Arial"/>
        <family val="2"/>
      </rPr>
      <t>3</t>
    </r>
  </si>
  <si>
    <t>PCs(kcal/kg)</t>
  </si>
  <si>
    <t>MJ/kg</t>
  </si>
  <si>
    <r>
      <t>PCi(kcal/m</t>
    </r>
    <r>
      <rPr>
        <vertAlign val="superscript"/>
        <sz val="10"/>
        <rFont val="Arial"/>
      </rPr>
      <t>3</t>
    </r>
    <r>
      <rPr>
        <sz val="10"/>
        <rFont val="Arial"/>
      </rPr>
      <t>)</t>
    </r>
  </si>
  <si>
    <t>PCs(kJ/mol)</t>
  </si>
  <si>
    <t>Indice de Wobbe</t>
  </si>
  <si>
    <r>
      <t>Cp(kcal/m</t>
    </r>
    <r>
      <rPr>
        <vertAlign val="superscript"/>
        <sz val="10"/>
        <rFont val="Arial"/>
      </rPr>
      <t>3</t>
    </r>
    <r>
      <rPr>
        <sz val="10"/>
        <rFont val="Arial"/>
      </rPr>
      <t>°C)</t>
    </r>
  </si>
  <si>
    <r>
      <t>Cv(kcal/m</t>
    </r>
    <r>
      <rPr>
        <vertAlign val="superscript"/>
        <sz val="10"/>
        <rFont val="Arial"/>
      </rPr>
      <t>3</t>
    </r>
    <r>
      <rPr>
        <sz val="10"/>
        <rFont val="Arial"/>
      </rPr>
      <t>°C)</t>
    </r>
  </si>
  <si>
    <t>K=Cp/Cv</t>
  </si>
  <si>
    <t>Compresib. Z</t>
  </si>
  <si>
    <t>PROPIEDADES  DE  LOS  HIDROCARBUROS  DEL  GAS  NATURAL</t>
  </si>
  <si>
    <t>ISO 6976/95</t>
  </si>
  <si>
    <t>- GPA 2145/95</t>
  </si>
  <si>
    <t>Temp. Base:</t>
  </si>
  <si>
    <t>°C</t>
  </si>
  <si>
    <t>Cte. GASES:</t>
  </si>
  <si>
    <r>
      <t>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.kPa/(°K.kmol)</t>
    </r>
  </si>
  <si>
    <t>Volumen Molar:</t>
  </si>
  <si>
    <r>
      <t>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/kmol</t>
    </r>
  </si>
  <si>
    <t>Presión Base:</t>
  </si>
  <si>
    <t>kPa</t>
  </si>
  <si>
    <t>Conversión:</t>
  </si>
  <si>
    <r>
      <t>kJ/kcal</t>
    </r>
    <r>
      <rPr>
        <vertAlign val="subscript"/>
        <sz val="12"/>
        <rFont val="Times New Roman"/>
        <family val="1"/>
      </rPr>
      <t>(15°C)</t>
    </r>
    <r>
      <rPr>
        <sz val="12"/>
        <rFont val="Times New Roman"/>
        <family val="1"/>
      </rPr>
      <t xml:space="preserve"> [s/IRAM 23]</t>
    </r>
  </si>
  <si>
    <t>CONSTANTES FISICAS</t>
  </si>
  <si>
    <t>GAS IDEAL</t>
  </si>
  <si>
    <t>PESO</t>
  </si>
  <si>
    <t>DENSIDAD</t>
  </si>
  <si>
    <t>RELACION</t>
  </si>
  <si>
    <t>PODER CALORIFICO</t>
  </si>
  <si>
    <t>MOLECULAR</t>
  </si>
  <si>
    <t>ABSOLUTA</t>
  </si>
  <si>
    <t>RELATIVA</t>
  </si>
  <si>
    <t>GAS/LIQ.</t>
  </si>
  <si>
    <t>LIQUIDO</t>
  </si>
  <si>
    <t>SUPERIOR</t>
  </si>
  <si>
    <t xml:space="preserve"> INFERIOR</t>
  </si>
  <si>
    <t>Z</t>
  </si>
  <si>
    <t>Factor Vb</t>
  </si>
  <si>
    <t>(kg/kmol)</t>
  </si>
  <si>
    <r>
      <t>(kg/m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</si>
  <si>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r>
      <t>(m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G/m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L)</t>
    </r>
  </si>
  <si>
    <r>
      <t>(MJ/m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</si>
  <si>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r>
      <t>(kcal/m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</si>
  <si>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t>(MJ/kg)</t>
  </si>
  <si>
    <t>(kcal/kg)</t>
  </si>
  <si>
    <t>(kJ/mol)</t>
  </si>
  <si>
    <t>(kcal/mol)</t>
  </si>
  <si>
    <t>Metano (C1)</t>
  </si>
  <si>
    <t>Etano (C2)</t>
  </si>
  <si>
    <t>Propano (C3)</t>
  </si>
  <si>
    <t>Iso-Butano (iC4)</t>
  </si>
  <si>
    <t>Normal-Butano (nC4)</t>
  </si>
  <si>
    <t>Neo-Pentano</t>
  </si>
  <si>
    <t>Iso-Pentano (iC5)</t>
  </si>
  <si>
    <t>Normal-Pentano (nC5)</t>
  </si>
  <si>
    <t>Hexanos (nC6)</t>
  </si>
  <si>
    <t>Heptanos (nC7)</t>
  </si>
  <si>
    <t>Octanos (nC8)</t>
  </si>
  <si>
    <t>Nonanos (nC9)</t>
  </si>
  <si>
    <t>Decanos (nC10)</t>
  </si>
  <si>
    <t>Nitrógeno (N2)</t>
  </si>
  <si>
    <t>Dióxido Carbono (CO2)</t>
  </si>
  <si>
    <t>Sulfuro de Hidrógeno (SH2)</t>
  </si>
  <si>
    <t>Oxígeno (O2)</t>
  </si>
  <si>
    <t>Vapor de Agua (H2O)</t>
  </si>
  <si>
    <t>Aire</t>
  </si>
  <si>
    <t>-</t>
  </si>
  <si>
    <t>PROPIEDADES CRITICAS</t>
  </si>
  <si>
    <t>Temperatura</t>
  </si>
  <si>
    <t>Calor de Vaporización</t>
  </si>
  <si>
    <t>CALOR ESPECIFICO</t>
  </si>
  <si>
    <t>Aire requerido</t>
  </si>
  <si>
    <t>Límite de Inflamabilidad</t>
  </si>
  <si>
    <t>Presión</t>
  </si>
  <si>
    <t>Factor</t>
  </si>
  <si>
    <t>Ebullición</t>
  </si>
  <si>
    <t>Solidificación</t>
  </si>
  <si>
    <t>(a Temp. ebullición)</t>
  </si>
  <si>
    <t xml:space="preserve">  Cp</t>
  </si>
  <si>
    <t>Cv</t>
  </si>
  <si>
    <t>p/Combustión</t>
  </si>
  <si>
    <t>Superior</t>
  </si>
  <si>
    <t>Inferior</t>
  </si>
  <si>
    <t>°K</t>
  </si>
  <si>
    <t>Acentrico</t>
  </si>
  <si>
    <t>(kJ/kg)</t>
  </si>
  <si>
    <t>(kJ/kg°C)</t>
  </si>
  <si>
    <t>(kcal/kg°C)</t>
  </si>
  <si>
    <t>(kJ/(kg°C)</t>
  </si>
  <si>
    <r>
      <t>(m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A/m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G)</t>
    </r>
  </si>
  <si>
    <t>% V. en Aire</t>
  </si>
  <si>
    <t>Notas:</t>
  </si>
  <si>
    <r>
      <t>1. - Datos en</t>
    </r>
    <r>
      <rPr>
        <sz val="12"/>
        <color indexed="10"/>
        <rFont val="Times New Roman"/>
        <family val="1"/>
      </rPr>
      <t xml:space="preserve"> Rojo </t>
    </r>
    <r>
      <rPr>
        <sz val="12"/>
        <rFont val="Times New Roman"/>
        <family val="1"/>
      </rPr>
      <t>extraidos de la IUPAC 1987</t>
    </r>
  </si>
  <si>
    <r>
      <t>2.- Datos en</t>
    </r>
    <r>
      <rPr>
        <sz val="12"/>
        <color indexed="12"/>
        <rFont val="Times New Roman"/>
        <family val="1"/>
      </rPr>
      <t xml:space="preserve"> Azul </t>
    </r>
    <r>
      <rPr>
        <sz val="12"/>
        <rFont val="Times New Roman"/>
        <family val="1"/>
      </rPr>
      <t>extraidos de la ISO 6976/95</t>
    </r>
  </si>
  <si>
    <r>
      <t>3.- Datos en</t>
    </r>
    <r>
      <rPr>
        <sz val="12"/>
        <color indexed="50"/>
        <rFont val="Times New Roman"/>
        <family val="1"/>
      </rPr>
      <t xml:space="preserve"> Verde </t>
    </r>
    <r>
      <rPr>
        <sz val="12"/>
        <rFont val="Times New Roman"/>
        <family val="1"/>
      </rPr>
      <t>extraidos de la GPA 2145/95</t>
    </r>
  </si>
  <si>
    <t>4.- Datos en Negro calculados a partir de los datos base</t>
  </si>
  <si>
    <t>Aire:</t>
  </si>
  <si>
    <t>Nitrógeno 78,03 %, Oxigeno 20,99 %, Dióxido de Carbono 0,035 %, Argon, 0,94 %, y otros Gases Nobles 0,0024 % e Hidrógeno 0,00005 %.</t>
  </si>
  <si>
    <t>Volumen</t>
  </si>
  <si>
    <t>Sm3/d</t>
  </si>
  <si>
    <t>RECUPERACION  DE  HIDROCARBUROS</t>
  </si>
  <si>
    <t>A</t>
  </si>
  <si>
    <t>B</t>
  </si>
  <si>
    <t>Area</t>
  </si>
  <si>
    <t>Yacimiento</t>
  </si>
  <si>
    <t>Poder Calorífico</t>
  </si>
  <si>
    <t>(Sm3/dia)</t>
  </si>
  <si>
    <t>(Kcal/m3)</t>
  </si>
  <si>
    <t>1.- Cálculo de Gas Residual</t>
  </si>
  <si>
    <t>C</t>
  </si>
  <si>
    <t>D</t>
  </si>
  <si>
    <t>E=C*(1-D/100)</t>
  </si>
  <si>
    <t>F=E/SUM(E)*100</t>
  </si>
  <si>
    <t>G</t>
  </si>
  <si>
    <t>Composición</t>
  </si>
  <si>
    <t>Recuperación</t>
  </si>
  <si>
    <t>Gas Residual</t>
  </si>
  <si>
    <t>(% Molar)</t>
  </si>
  <si>
    <t>(%)</t>
  </si>
  <si>
    <t>(m3/100m3)</t>
  </si>
  <si>
    <t>Sup. (Kcal/m3)</t>
  </si>
  <si>
    <t>C1</t>
  </si>
  <si>
    <t>C2</t>
  </si>
  <si>
    <t>C3</t>
  </si>
  <si>
    <t>iC4</t>
  </si>
  <si>
    <t>nC4</t>
  </si>
  <si>
    <t>iC5</t>
  </si>
  <si>
    <t>nC5</t>
  </si>
  <si>
    <t>C6</t>
  </si>
  <si>
    <t>2.- Cálculo de Productos</t>
  </si>
  <si>
    <t>H=C*D/100</t>
  </si>
  <si>
    <t>I</t>
  </si>
  <si>
    <t>J=H*I</t>
  </si>
  <si>
    <t>K=H*I</t>
  </si>
  <si>
    <t>L=H/I*1000</t>
  </si>
  <si>
    <t>Productos</t>
  </si>
  <si>
    <t>Dens. (kg/m3)</t>
  </si>
  <si>
    <t>Propano</t>
  </si>
  <si>
    <t>Butanos</t>
  </si>
  <si>
    <t>Gasolina</t>
  </si>
  <si>
    <t>y Relación G/L</t>
  </si>
  <si>
    <t>(kg/100m3)</t>
  </si>
  <si>
    <t>(lts/100m3)</t>
  </si>
  <si>
    <t>% C3+ retenido</t>
  </si>
  <si>
    <t>en volumen</t>
  </si>
  <si>
    <t>en energía</t>
  </si>
  <si>
    <t>3.- Resumen de Resultados</t>
  </si>
  <si>
    <t>M</t>
  </si>
  <si>
    <t>N</t>
  </si>
  <si>
    <t>O=M*N/9300</t>
  </si>
  <si>
    <t>Producto</t>
  </si>
  <si>
    <t>Unidad</t>
  </si>
  <si>
    <t>Cantidad</t>
  </si>
  <si>
    <t>P.C.s  (Kcal/</t>
  </si>
  <si>
    <t>Volumen Equiv.</t>
  </si>
  <si>
    <t>[/m3],[/Kg],[/lt])</t>
  </si>
  <si>
    <t>(m3 de 9300Kcal)</t>
  </si>
  <si>
    <t>Gas Rico</t>
  </si>
  <si>
    <t>(kg/dia)</t>
  </si>
  <si>
    <t>I-Butano</t>
  </si>
  <si>
    <t>n-Butano</t>
  </si>
  <si>
    <t>I-Pentano</t>
  </si>
  <si>
    <t>(lts/dia)</t>
  </si>
  <si>
    <t>n-Pentano</t>
  </si>
  <si>
    <t>Diferencia</t>
  </si>
  <si>
    <t>Precio Gas Natural</t>
  </si>
  <si>
    <t>C5+ (U$/bbl)</t>
  </si>
  <si>
    <t>GLP ($/Tn)</t>
  </si>
  <si>
    <t>Poliducto ($/Tn)</t>
  </si>
  <si>
    <t>$/MMBTU</t>
  </si>
  <si>
    <t>4,- Valorización</t>
  </si>
  <si>
    <t>Factor de Valor Agregado   /   Precio Neto RTP</t>
  </si>
  <si>
    <t>P</t>
  </si>
  <si>
    <t>Q</t>
  </si>
  <si>
    <t>R=P*Q</t>
  </si>
  <si>
    <t>FVA</t>
  </si>
  <si>
    <t>Precio</t>
  </si>
  <si>
    <t>Monto Total</t>
  </si>
  <si>
    <t>($/unid)</t>
  </si>
  <si>
    <t>( $ )</t>
  </si>
  <si>
    <t>(Mm3/dia eq.)</t>
  </si>
  <si>
    <t>Equivalente Gas Natural</t>
  </si>
  <si>
    <t>Precios Contrato</t>
  </si>
  <si>
    <r>
      <t>$/m</t>
    </r>
    <r>
      <rPr>
        <vertAlign val="superscript"/>
        <sz val="10"/>
        <rFont val="Arial"/>
        <family val="2"/>
      </rPr>
      <t>3</t>
    </r>
    <r>
      <rPr>
        <sz val="8"/>
        <rFont val="Arial"/>
        <family val="2"/>
      </rPr>
      <t>9300 kcal</t>
    </r>
  </si>
  <si>
    <t>$/Tn, $/m3</t>
  </si>
  <si>
    <t>(Tn/dia)</t>
  </si>
  <si>
    <t>(m3/dia)</t>
  </si>
  <si>
    <t>Benef./Pérdida</t>
  </si>
  <si>
    <t>NOTA:</t>
  </si>
  <si>
    <t>Los valores de densidad, poder calorífico y relación gas/líquido utilizados</t>
  </si>
  <si>
    <t>fueron obtenidos a partir de la publicación  GPA  2145  SI-95   "Phisical</t>
  </si>
  <si>
    <t>Constants of Paraffin Hydrocarbons and other Components of Natural Gas"</t>
  </si>
  <si>
    <t>C7</t>
  </si>
  <si>
    <t>C8</t>
  </si>
  <si>
    <t>Hexanos</t>
  </si>
  <si>
    <t>Heptanos</t>
  </si>
  <si>
    <t>Octano plus</t>
  </si>
  <si>
    <t>PCS liq.</t>
  </si>
  <si>
    <t>(MJ/m3)</t>
  </si>
  <si>
    <t>Azufre Total</t>
  </si>
  <si>
    <t>Inversión Base MM US$</t>
  </si>
  <si>
    <t>Capacidad MMm3/d</t>
  </si>
  <si>
    <t>Pta. Acond. en PR HC</t>
  </si>
  <si>
    <t>Pta. Endulzamiento</t>
  </si>
  <si>
    <t>Pta. Recup. de LPG</t>
  </si>
  <si>
    <t>C3+</t>
  </si>
  <si>
    <t>C5+</t>
  </si>
  <si>
    <t>Inversión</t>
  </si>
  <si>
    <t>Ingresos</t>
  </si>
  <si>
    <t>Repago</t>
  </si>
  <si>
    <t>BK 2023</t>
  </si>
  <si>
    <t>% C5+ retenido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</si>
</sst>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0.00000"/>
    <numFmt numFmtId="167" formatCode="0.00000_)"/>
    <numFmt numFmtId="168" formatCode="0.000"/>
    <numFmt numFmtId="169" formatCode="0.000000_)"/>
    <numFmt numFmtId="170" formatCode="0.0000_)"/>
    <numFmt numFmtId="171" formatCode="0.00_)"/>
    <numFmt numFmtId="172" formatCode="0.000_)"/>
    <numFmt numFmtId="173" formatCode="0.0_)"/>
    <numFmt numFmtId="174" formatCode="0_)"/>
    <numFmt numFmtId="175" formatCode="0.0000"/>
    <numFmt numFmtId="176" formatCode="0.00_);\(0.00\)"/>
    <numFmt numFmtId="177" formatCode="0.0"/>
    <numFmt numFmtId="178" formatCode="0.0_);\(0.0\)"/>
    <numFmt numFmtId="179" formatCode="0.0%"/>
    <numFmt numFmtId="180" formatCode="&quot;Merma &quot;0.0%"/>
    <numFmt numFmtId="181" formatCode="_(* #,##0_);_(* \(#,##0\);_(* &quot;-&quot;??_);_(@_)"/>
    <numFmt numFmtId="182" formatCode="_(* #,##0.000_);_(* \(#,##0.000\);_(* &quot;-&quot;??_);_(@_)"/>
    <numFmt numFmtId="183" formatCode="#,##0.00_ ;\-#,##0.00\ "/>
  </numFmts>
  <fonts count="58" x14ac:knownFonts="1">
    <font>
      <sz val="10"/>
      <name val="Arial"/>
    </font>
    <font>
      <b/>
      <sz val="10"/>
      <name val="Arial"/>
    </font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sz val="10"/>
      <color indexed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2"/>
      <color indexed="14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vertAlign val="superscript"/>
      <sz val="12"/>
      <name val="Times New Roman"/>
      <family val="1"/>
    </font>
    <font>
      <b/>
      <i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0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12"/>
      <color indexed="12"/>
      <name val="Arial"/>
      <family val="2"/>
    </font>
    <font>
      <b/>
      <i/>
      <sz val="10"/>
      <name val="Times New Roman"/>
      <family val="1"/>
    </font>
    <font>
      <vertAlign val="superscript"/>
      <sz val="10"/>
      <name val="Arial"/>
    </font>
    <font>
      <sz val="10"/>
      <color indexed="12"/>
      <name val="Arial"/>
    </font>
    <font>
      <sz val="12"/>
      <color indexed="50"/>
      <name val="Times New Roman"/>
      <family val="1"/>
    </font>
    <font>
      <b/>
      <sz val="12"/>
      <color indexed="50"/>
      <name val="Times New Roman"/>
      <family val="1"/>
    </font>
    <font>
      <b/>
      <sz val="14"/>
      <color indexed="50"/>
      <name val="Times New Roman"/>
      <family val="1"/>
    </font>
    <font>
      <vertAlign val="subscript"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9"/>
      <name val="Arial"/>
      <family val="2"/>
    </font>
    <font>
      <sz val="20"/>
      <name val="Times New Roman"/>
      <family val="1"/>
    </font>
    <font>
      <b/>
      <sz val="8"/>
      <name val="Helv"/>
    </font>
    <font>
      <sz val="10"/>
      <color indexed="12"/>
      <name val="Courier"/>
      <family val="3"/>
    </font>
    <font>
      <sz val="10"/>
      <name val="Helv"/>
    </font>
    <font>
      <sz val="12"/>
      <name val="Helv"/>
    </font>
    <font>
      <sz val="8"/>
      <name val="Helv"/>
    </font>
    <font>
      <sz val="10"/>
      <color indexed="12"/>
      <name val="Helv"/>
    </font>
    <font>
      <b/>
      <i/>
      <sz val="10"/>
      <color indexed="12"/>
      <name val="Arial"/>
      <family val="2"/>
    </font>
    <font>
      <sz val="10"/>
      <name val="Tms Rmn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FF"/>
      <name val="Arial"/>
      <family val="2"/>
    </font>
    <font>
      <sz val="12"/>
      <color rgb="FF0000FF"/>
      <name val="Times New Roman"/>
      <family val="1"/>
    </font>
    <font>
      <b/>
      <sz val="10"/>
      <name val="Helv"/>
    </font>
    <font>
      <sz val="10"/>
      <color rgb="FF0000FF"/>
      <name val="Arial"/>
      <family val="2"/>
    </font>
    <font>
      <sz val="10"/>
      <color rgb="FF0000FF"/>
      <name val="Helv"/>
    </font>
    <font>
      <sz val="10"/>
      <color theme="0"/>
      <name val="Arial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5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9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4" xfId="0" applyFont="1" applyBorder="1" applyAlignment="1">
      <alignment horizontal="right"/>
    </xf>
    <xf numFmtId="170" fontId="3" fillId="0" borderId="0" xfId="0" applyNumberFormat="1" applyFont="1"/>
    <xf numFmtId="173" fontId="3" fillId="0" borderId="0" xfId="0" applyNumberFormat="1" applyFont="1"/>
    <xf numFmtId="172" fontId="3" fillId="0" borderId="0" xfId="0" applyNumberFormat="1" applyFont="1"/>
    <xf numFmtId="0" fontId="3" fillId="0" borderId="7" xfId="0" applyFont="1" applyBorder="1"/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1" fontId="11" fillId="0" borderId="0" xfId="0" applyNumberFormat="1" applyFon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172" fontId="6" fillId="0" borderId="0" xfId="0" applyNumberFormat="1" applyFont="1"/>
    <xf numFmtId="167" fontId="6" fillId="0" borderId="0" xfId="0" applyNumberFormat="1" applyFont="1"/>
    <xf numFmtId="0" fontId="4" fillId="0" borderId="4" xfId="0" applyFont="1" applyBorder="1"/>
    <xf numFmtId="0" fontId="4" fillId="0" borderId="10" xfId="0" applyFont="1" applyBorder="1"/>
    <xf numFmtId="0" fontId="3" fillId="0" borderId="11" xfId="0" applyFont="1" applyBorder="1"/>
    <xf numFmtId="0" fontId="16" fillId="0" borderId="0" xfId="0" quotePrefix="1" applyFont="1" applyAlignment="1">
      <alignment horizontal="right"/>
    </xf>
    <xf numFmtId="167" fontId="17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2" fontId="9" fillId="0" borderId="0" xfId="0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1" fillId="0" borderId="12" xfId="0" quotePrefix="1" applyFont="1" applyBorder="1" applyAlignment="1">
      <alignment horizontal="center" vertical="center"/>
    </xf>
    <xf numFmtId="167" fontId="11" fillId="0" borderId="0" xfId="0" applyNumberFormat="1" applyFont="1"/>
    <xf numFmtId="171" fontId="13" fillId="0" borderId="0" xfId="0" applyNumberFormat="1" applyFont="1"/>
    <xf numFmtId="170" fontId="8" fillId="0" borderId="0" xfId="0" applyNumberFormat="1" applyFont="1"/>
    <xf numFmtId="171" fontId="15" fillId="0" borderId="0" xfId="0" applyNumberFormat="1" applyFont="1"/>
    <xf numFmtId="171" fontId="6" fillId="0" borderId="0" xfId="0" applyNumberFormat="1" applyFont="1"/>
    <xf numFmtId="170" fontId="6" fillId="0" borderId="0" xfId="0" applyNumberFormat="1" applyFont="1"/>
    <xf numFmtId="0" fontId="19" fillId="0" borderId="0" xfId="0" applyFont="1" applyAlignment="1">
      <alignment horizontal="right"/>
    </xf>
    <xf numFmtId="0" fontId="3" fillId="0" borderId="13" xfId="0" applyFont="1" applyBorder="1" applyAlignment="1">
      <alignment horizontal="centerContinuous"/>
    </xf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6" fontId="3" fillId="0" borderId="15" xfId="0" applyNumberFormat="1" applyFont="1" applyBorder="1"/>
    <xf numFmtId="170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70" fontId="8" fillId="0" borderId="16" xfId="0" applyNumberFormat="1" applyFont="1" applyBorder="1"/>
    <xf numFmtId="172" fontId="8" fillId="0" borderId="16" xfId="0" applyNumberFormat="1" applyFont="1" applyBorder="1"/>
    <xf numFmtId="0" fontId="3" fillId="0" borderId="13" xfId="0" applyFont="1" applyBorder="1" applyAlignment="1">
      <alignment horizontal="center"/>
    </xf>
    <xf numFmtId="166" fontId="3" fillId="0" borderId="13" xfId="0" applyNumberFormat="1" applyFont="1" applyBorder="1"/>
    <xf numFmtId="170" fontId="3" fillId="0" borderId="13" xfId="0" applyNumberFormat="1" applyFont="1" applyBorder="1"/>
    <xf numFmtId="173" fontId="3" fillId="0" borderId="13" xfId="0" applyNumberFormat="1" applyFont="1" applyBorder="1"/>
    <xf numFmtId="171" fontId="3" fillId="0" borderId="13" xfId="0" applyNumberFormat="1" applyFont="1" applyBorder="1"/>
    <xf numFmtId="0" fontId="3" fillId="0" borderId="15" xfId="0" applyFont="1" applyBorder="1" applyAlignment="1">
      <alignment horizontal="centerContinuous"/>
    </xf>
    <xf numFmtId="172" fontId="6" fillId="0" borderId="15" xfId="0" applyNumberFormat="1" applyFont="1" applyBorder="1"/>
    <xf numFmtId="171" fontId="6" fillId="0" borderId="15" xfId="0" applyNumberFormat="1" applyFont="1" applyBorder="1"/>
    <xf numFmtId="0" fontId="3" fillId="0" borderId="17" xfId="0" applyFont="1" applyBorder="1" applyAlignment="1">
      <alignment horizontal="center"/>
    </xf>
    <xf numFmtId="172" fontId="6" fillId="0" borderId="17" xfId="0" applyNumberFormat="1" applyFont="1" applyBorder="1"/>
    <xf numFmtId="168" fontId="6" fillId="0" borderId="15" xfId="0" applyNumberFormat="1" applyFont="1" applyBorder="1"/>
    <xf numFmtId="173" fontId="3" fillId="0" borderId="15" xfId="0" applyNumberFormat="1" applyFont="1" applyBorder="1"/>
    <xf numFmtId="2" fontId="3" fillId="0" borderId="13" xfId="0" applyNumberFormat="1" applyFont="1" applyBorder="1"/>
    <xf numFmtId="2" fontId="6" fillId="0" borderId="15" xfId="0" applyNumberFormat="1" applyFont="1" applyBorder="1" applyAlignment="1">
      <alignment horizontal="right"/>
    </xf>
    <xf numFmtId="2" fontId="6" fillId="0" borderId="15" xfId="0" applyNumberFormat="1" applyFont="1" applyBorder="1"/>
    <xf numFmtId="2" fontId="9" fillId="0" borderId="15" xfId="0" applyNumberFormat="1" applyFont="1" applyBorder="1"/>
    <xf numFmtId="173" fontId="3" fillId="0" borderId="18" xfId="0" applyNumberFormat="1" applyFont="1" applyBorder="1"/>
    <xf numFmtId="0" fontId="4" fillId="0" borderId="18" xfId="0" applyFont="1" applyBorder="1"/>
    <xf numFmtId="0" fontId="3" fillId="0" borderId="18" xfId="0" quotePrefix="1" applyFont="1" applyBorder="1" applyAlignment="1">
      <alignment horizontal="center"/>
    </xf>
    <xf numFmtId="167" fontId="6" fillId="0" borderId="15" xfId="0" applyNumberFormat="1" applyFont="1" applyBorder="1"/>
    <xf numFmtId="167" fontId="17" fillId="0" borderId="15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Continuous"/>
    </xf>
    <xf numFmtId="170" fontId="6" fillId="0" borderId="18" xfId="0" applyNumberFormat="1" applyFont="1" applyBorder="1"/>
    <xf numFmtId="175" fontId="17" fillId="0" borderId="18" xfId="0" applyNumberFormat="1" applyFont="1" applyBorder="1" applyAlignment="1">
      <alignment horizontal="center"/>
    </xf>
    <xf numFmtId="173" fontId="6" fillId="0" borderId="14" xfId="0" applyNumberFormat="1" applyFont="1" applyBorder="1"/>
    <xf numFmtId="174" fontId="6" fillId="0" borderId="14" xfId="0" applyNumberFormat="1" applyFont="1" applyBorder="1"/>
    <xf numFmtId="177" fontId="17" fillId="0" borderId="14" xfId="0" applyNumberFormat="1" applyFont="1" applyBorder="1" applyAlignment="1">
      <alignment horizontal="center"/>
    </xf>
    <xf numFmtId="171" fontId="3" fillId="0" borderId="18" xfId="0" applyNumberFormat="1" applyFont="1" applyBorder="1"/>
    <xf numFmtId="172" fontId="3" fillId="0" borderId="18" xfId="0" applyNumberFormat="1" applyFont="1" applyBorder="1"/>
    <xf numFmtId="0" fontId="4" fillId="0" borderId="15" xfId="0" applyFont="1" applyBorder="1"/>
    <xf numFmtId="171" fontId="4" fillId="0" borderId="10" xfId="0" applyNumberFormat="1" applyFont="1" applyBorder="1"/>
    <xf numFmtId="171" fontId="9" fillId="0" borderId="10" xfId="0" applyNumberFormat="1" applyFont="1" applyBorder="1"/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15" xfId="0" quotePrefix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Continuous"/>
    </xf>
    <xf numFmtId="0" fontId="3" fillId="0" borderId="19" xfId="0" quotePrefix="1" applyFont="1" applyBorder="1" applyAlignment="1">
      <alignment horizontal="center"/>
    </xf>
    <xf numFmtId="0" fontId="3" fillId="0" borderId="20" xfId="0" quotePrefix="1" applyFont="1" applyBorder="1" applyAlignment="1">
      <alignment horizontal="center"/>
    </xf>
    <xf numFmtId="0" fontId="3" fillId="0" borderId="21" xfId="0" applyFont="1" applyBorder="1"/>
    <xf numFmtId="0" fontId="3" fillId="0" borderId="22" xfId="0" quotePrefix="1" applyFont="1" applyBorder="1" applyAlignment="1">
      <alignment horizontal="center"/>
    </xf>
    <xf numFmtId="0" fontId="3" fillId="0" borderId="21" xfId="0" quotePrefix="1" applyFont="1" applyBorder="1" applyAlignment="1">
      <alignment horizontal="center"/>
    </xf>
    <xf numFmtId="0" fontId="3" fillId="0" borderId="23" xfId="0" quotePrefix="1" applyFont="1" applyBorder="1" applyAlignment="1">
      <alignment horizontal="center"/>
    </xf>
    <xf numFmtId="0" fontId="7" fillId="0" borderId="20" xfId="0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0" xfId="0" quotePrefix="1" applyFont="1" applyBorder="1" applyAlignment="1">
      <alignment horizontal="center"/>
    </xf>
    <xf numFmtId="0" fontId="4" fillId="0" borderId="21" xfId="0" quotePrefix="1" applyFont="1" applyBorder="1" applyAlignment="1">
      <alignment horizontal="center"/>
    </xf>
    <xf numFmtId="0" fontId="4" fillId="0" borderId="23" xfId="0" quotePrefix="1" applyFont="1" applyBorder="1" applyAlignment="1">
      <alignment horizontal="center"/>
    </xf>
    <xf numFmtId="0" fontId="7" fillId="0" borderId="15" xfId="0" applyFont="1" applyBorder="1" applyAlignment="1">
      <alignment horizontal="centerContinuous"/>
    </xf>
    <xf numFmtId="0" fontId="7" fillId="0" borderId="13" xfId="0" quotePrefix="1" applyFont="1" applyBorder="1" applyAlignment="1">
      <alignment horizontal="centerContinuous"/>
    </xf>
    <xf numFmtId="165" fontId="11" fillId="0" borderId="0" xfId="0" quotePrefix="1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11" fillId="0" borderId="0" xfId="0" quotePrefix="1" applyFont="1" applyAlignment="1">
      <alignment horizontal="center" vertical="center"/>
    </xf>
    <xf numFmtId="171" fontId="10" fillId="0" borderId="0" xfId="0" applyNumberFormat="1" applyFont="1" applyAlignment="1">
      <alignment horizontal="right"/>
    </xf>
    <xf numFmtId="0" fontId="11" fillId="0" borderId="25" xfId="0" applyFont="1" applyBorder="1" applyAlignment="1">
      <alignment horizontal="center" vertical="center"/>
    </xf>
    <xf numFmtId="0" fontId="14" fillId="0" borderId="0" xfId="0" applyFont="1"/>
    <xf numFmtId="0" fontId="22" fillId="0" borderId="0" xfId="0" applyFont="1" applyAlignment="1">
      <alignment horizontal="centerContinuous" vertical="center"/>
    </xf>
    <xf numFmtId="0" fontId="11" fillId="0" borderId="26" xfId="0" quotePrefix="1" applyFont="1" applyBorder="1" applyAlignment="1">
      <alignment horizontal="center" vertical="center"/>
    </xf>
    <xf numFmtId="165" fontId="24" fillId="0" borderId="25" xfId="0" applyNumberFormat="1" applyFont="1" applyBorder="1" applyAlignment="1">
      <alignment horizontal="centerContinuous" vertical="center"/>
    </xf>
    <xf numFmtId="165" fontId="24" fillId="0" borderId="26" xfId="0" applyNumberFormat="1" applyFont="1" applyBorder="1" applyAlignment="1">
      <alignment horizontal="centerContinuous" vertical="center"/>
    </xf>
    <xf numFmtId="0" fontId="12" fillId="0" borderId="1" xfId="0" applyFont="1" applyBorder="1"/>
    <xf numFmtId="0" fontId="12" fillId="0" borderId="2" xfId="0" applyFont="1" applyBorder="1"/>
    <xf numFmtId="0" fontId="12" fillId="0" borderId="4" xfId="0" applyFont="1" applyBorder="1"/>
    <xf numFmtId="0" fontId="12" fillId="0" borderId="0" xfId="0" applyFont="1"/>
    <xf numFmtId="0" fontId="25" fillId="0" borderId="4" xfId="0" applyFont="1" applyBorder="1" applyAlignment="1">
      <alignment horizontal="centerContinuous"/>
    </xf>
    <xf numFmtId="0" fontId="1" fillId="0" borderId="4" xfId="0" applyFont="1" applyBorder="1"/>
    <xf numFmtId="0" fontId="12" fillId="0" borderId="4" xfId="0" quotePrefix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26" xfId="0" quotePrefix="1" applyFont="1" applyBorder="1" applyAlignment="1">
      <alignment horizontal="center" vertical="center"/>
    </xf>
    <xf numFmtId="172" fontId="26" fillId="0" borderId="4" xfId="0" applyNumberFormat="1" applyFont="1" applyBorder="1" applyAlignment="1">
      <alignment horizontal="right"/>
    </xf>
    <xf numFmtId="171" fontId="24" fillId="0" borderId="4" xfId="0" applyNumberFormat="1" applyFont="1" applyBorder="1" applyAlignment="1">
      <alignment horizontal="right"/>
    </xf>
    <xf numFmtId="171" fontId="26" fillId="0" borderId="4" xfId="0" applyNumberFormat="1" applyFont="1" applyBorder="1"/>
    <xf numFmtId="0" fontId="12" fillId="0" borderId="7" xfId="0" applyFont="1" applyBorder="1"/>
    <xf numFmtId="0" fontId="12" fillId="0" borderId="10" xfId="0" applyFont="1" applyBorder="1"/>
    <xf numFmtId="165" fontId="2" fillId="0" borderId="16" xfId="0" applyNumberFormat="1" applyFont="1" applyBorder="1" applyAlignment="1">
      <alignment horizontal="center" vertical="center"/>
    </xf>
    <xf numFmtId="165" fontId="2" fillId="0" borderId="15" xfId="0" quotePrefix="1" applyNumberFormat="1" applyFont="1" applyBorder="1" applyAlignment="1">
      <alignment horizontal="left" vertical="center"/>
    </xf>
    <xf numFmtId="165" fontId="2" fillId="0" borderId="15" xfId="0" applyNumberFormat="1" applyFont="1" applyBorder="1" applyAlignment="1">
      <alignment horizontal="left" vertical="center"/>
    </xf>
    <xf numFmtId="165" fontId="2" fillId="0" borderId="28" xfId="0" applyNumberFormat="1" applyFont="1" applyBorder="1" applyAlignment="1">
      <alignment horizontal="left" vertical="center"/>
    </xf>
    <xf numFmtId="165" fontId="12" fillId="0" borderId="29" xfId="0" applyNumberFormat="1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30" fillId="0" borderId="17" xfId="0" applyNumberFormat="1" applyFont="1" applyBorder="1"/>
    <xf numFmtId="176" fontId="30" fillId="0" borderId="13" xfId="0" applyNumberFormat="1" applyFont="1" applyBorder="1"/>
    <xf numFmtId="171" fontId="30" fillId="0" borderId="17" xfId="0" applyNumberFormat="1" applyFont="1" applyBorder="1"/>
    <xf numFmtId="171" fontId="30" fillId="0" borderId="13" xfId="0" applyNumberFormat="1" applyFont="1" applyBorder="1"/>
    <xf numFmtId="173" fontId="30" fillId="0" borderId="13" xfId="0" applyNumberFormat="1" applyFont="1" applyBorder="1"/>
    <xf numFmtId="173" fontId="30" fillId="0" borderId="17" xfId="0" applyNumberFormat="1" applyFont="1" applyBorder="1"/>
    <xf numFmtId="171" fontId="30" fillId="0" borderId="15" xfId="0" applyNumberFormat="1" applyFont="1" applyBorder="1"/>
    <xf numFmtId="172" fontId="30" fillId="0" borderId="18" xfId="0" applyNumberFormat="1" applyFont="1" applyBorder="1"/>
    <xf numFmtId="171" fontId="30" fillId="0" borderId="18" xfId="0" applyNumberFormat="1" applyFont="1" applyBorder="1"/>
    <xf numFmtId="172" fontId="30" fillId="0" borderId="15" xfId="0" applyNumberFormat="1" applyFont="1" applyBorder="1"/>
    <xf numFmtId="173" fontId="30" fillId="0" borderId="15" xfId="0" applyNumberFormat="1" applyFont="1" applyBorder="1"/>
    <xf numFmtId="168" fontId="30" fillId="0" borderId="18" xfId="0" applyNumberFormat="1" applyFont="1" applyBorder="1"/>
    <xf numFmtId="170" fontId="30" fillId="0" borderId="15" xfId="0" applyNumberFormat="1" applyFont="1" applyBorder="1"/>
    <xf numFmtId="171" fontId="31" fillId="0" borderId="13" xfId="0" applyNumberFormat="1" applyFont="1" applyBorder="1" applyAlignment="1">
      <alignment horizontal="center"/>
    </xf>
    <xf numFmtId="171" fontId="31" fillId="0" borderId="18" xfId="0" applyNumberFormat="1" applyFont="1" applyBorder="1" applyAlignment="1">
      <alignment horizontal="center"/>
    </xf>
    <xf numFmtId="166" fontId="30" fillId="0" borderId="15" xfId="0" applyNumberFormat="1" applyFont="1" applyBorder="1"/>
    <xf numFmtId="0" fontId="32" fillId="0" borderId="0" xfId="0" quotePrefix="1" applyFont="1" applyAlignment="1">
      <alignment horizontal="left"/>
    </xf>
    <xf numFmtId="165" fontId="11" fillId="0" borderId="0" xfId="0" applyNumberFormat="1" applyFont="1" applyAlignment="1">
      <alignment horizontal="left"/>
    </xf>
    <xf numFmtId="0" fontId="34" fillId="0" borderId="0" xfId="0" applyFont="1" applyAlignment="1">
      <alignment horizontal="right" vertical="top"/>
    </xf>
    <xf numFmtId="0" fontId="12" fillId="0" borderId="0" xfId="0" quotePrefix="1" applyFont="1" applyAlignment="1">
      <alignment horizontal="right"/>
    </xf>
    <xf numFmtId="0" fontId="11" fillId="0" borderId="15" xfId="0" applyFont="1" applyBorder="1"/>
    <xf numFmtId="0" fontId="11" fillId="0" borderId="28" xfId="0" applyFont="1" applyBorder="1"/>
    <xf numFmtId="0" fontId="6" fillId="0" borderId="0" xfId="0" applyFont="1" applyAlignment="1">
      <alignment horizontal="left" vertical="top"/>
    </xf>
    <xf numFmtId="15" fontId="11" fillId="0" borderId="0" xfId="0" applyNumberFormat="1" applyFont="1" applyAlignment="1">
      <alignment horizontal="center"/>
    </xf>
    <xf numFmtId="165" fontId="11" fillId="0" borderId="0" xfId="0" quotePrefix="1" applyNumberFormat="1" applyFont="1" applyAlignment="1">
      <alignment horizontal="right"/>
    </xf>
    <xf numFmtId="0" fontId="11" fillId="0" borderId="0" xfId="0" applyFont="1" applyAlignment="1">
      <alignment horizontal="right"/>
    </xf>
    <xf numFmtId="165" fontId="37" fillId="0" borderId="29" xfId="0" applyNumberFormat="1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173" fontId="11" fillId="0" borderId="31" xfId="0" applyNumberFormat="1" applyFont="1" applyBorder="1" applyAlignment="1">
      <alignment horizontal="center" vertical="center"/>
    </xf>
    <xf numFmtId="173" fontId="11" fillId="0" borderId="27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73" fontId="11" fillId="0" borderId="0" xfId="0" applyNumberFormat="1" applyFont="1" applyAlignment="1">
      <alignment vertical="center"/>
    </xf>
    <xf numFmtId="165" fontId="37" fillId="0" borderId="0" xfId="0" applyNumberFormat="1" applyFont="1" applyAlignment="1">
      <alignment horizontal="center" vertical="center"/>
    </xf>
    <xf numFmtId="173" fontId="11" fillId="0" borderId="0" xfId="0" applyNumberFormat="1" applyFont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/>
    </xf>
    <xf numFmtId="173" fontId="11" fillId="0" borderId="32" xfId="0" applyNumberFormat="1" applyFont="1" applyBorder="1" applyAlignment="1">
      <alignment horizontal="center" vertical="center"/>
    </xf>
    <xf numFmtId="173" fontId="11" fillId="0" borderId="33" xfId="0" applyNumberFormat="1" applyFont="1" applyBorder="1" applyAlignment="1">
      <alignment horizontal="center" vertical="center"/>
    </xf>
    <xf numFmtId="173" fontId="11" fillId="0" borderId="34" xfId="0" applyNumberFormat="1" applyFont="1" applyBorder="1" applyAlignment="1">
      <alignment horizontal="center" vertical="center"/>
    </xf>
    <xf numFmtId="165" fontId="37" fillId="0" borderId="35" xfId="0" applyNumberFormat="1" applyFont="1" applyBorder="1" applyAlignment="1">
      <alignment horizontal="left" vertical="center"/>
    </xf>
    <xf numFmtId="165" fontId="37" fillId="0" borderId="0" xfId="0" applyNumberFormat="1" applyFont="1" applyAlignment="1">
      <alignment horizontal="left" vertical="center"/>
    </xf>
    <xf numFmtId="165" fontId="37" fillId="0" borderId="36" xfId="0" applyNumberFormat="1" applyFont="1" applyBorder="1" applyAlignment="1">
      <alignment horizontal="left" vertical="center"/>
    </xf>
    <xf numFmtId="0" fontId="6" fillId="2" borderId="25" xfId="0" applyFont="1" applyFill="1" applyBorder="1" applyAlignment="1" applyProtection="1">
      <alignment vertical="center"/>
      <protection locked="0"/>
    </xf>
    <xf numFmtId="178" fontId="14" fillId="2" borderId="31" xfId="0" applyNumberFormat="1" applyFont="1" applyFill="1" applyBorder="1" applyProtection="1">
      <protection locked="0"/>
    </xf>
    <xf numFmtId="178" fontId="14" fillId="2" borderId="27" xfId="0" applyNumberFormat="1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center"/>
      <protection locked="0"/>
    </xf>
    <xf numFmtId="0" fontId="14" fillId="2" borderId="27" xfId="0" applyFont="1" applyFill="1" applyBorder="1" applyAlignment="1" applyProtection="1">
      <alignment horizontal="center"/>
      <protection locked="0"/>
    </xf>
    <xf numFmtId="172" fontId="3" fillId="0" borderId="15" xfId="0" applyNumberFormat="1" applyFont="1" applyBorder="1" applyAlignment="1">
      <alignment horizontal="right" vertical="center"/>
    </xf>
    <xf numFmtId="172" fontId="3" fillId="0" borderId="16" xfId="0" applyNumberFormat="1" applyFont="1" applyBorder="1" applyAlignment="1">
      <alignment horizontal="right" vertical="center"/>
    </xf>
    <xf numFmtId="171" fontId="3" fillId="0" borderId="12" xfId="0" applyNumberFormat="1" applyFont="1" applyBorder="1" applyAlignment="1">
      <alignment horizontal="right" vertical="center"/>
    </xf>
    <xf numFmtId="172" fontId="3" fillId="0" borderId="16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4" fontId="3" fillId="0" borderId="16" xfId="0" applyNumberFormat="1" applyFont="1" applyBorder="1" applyAlignment="1">
      <alignment vertical="center"/>
    </xf>
    <xf numFmtId="170" fontId="3" fillId="0" borderId="27" xfId="0" applyNumberFormat="1" applyFont="1" applyBorder="1" applyAlignment="1">
      <alignment vertical="center"/>
    </xf>
    <xf numFmtId="173" fontId="3" fillId="0" borderId="31" xfId="0" applyNumberFormat="1" applyFont="1" applyBorder="1" applyAlignment="1">
      <alignment vertical="center"/>
    </xf>
    <xf numFmtId="173" fontId="3" fillId="0" borderId="27" xfId="0" applyNumberFormat="1" applyFont="1" applyBorder="1" applyAlignment="1">
      <alignment vertical="center"/>
    </xf>
    <xf numFmtId="171" fontId="3" fillId="0" borderId="0" xfId="0" applyNumberFormat="1" applyFont="1"/>
    <xf numFmtId="0" fontId="14" fillId="2" borderId="32" xfId="0" applyFont="1" applyFill="1" applyBorder="1" applyProtection="1">
      <protection locked="0"/>
    </xf>
    <xf numFmtId="0" fontId="14" fillId="2" borderId="33" xfId="0" applyFont="1" applyFill="1" applyBorder="1" applyProtection="1">
      <protection locked="0"/>
    </xf>
    <xf numFmtId="0" fontId="14" fillId="2" borderId="28" xfId="0" quotePrefix="1" applyFont="1" applyFill="1" applyBorder="1" applyAlignment="1" applyProtection="1">
      <alignment horizontal="left"/>
      <protection locked="0"/>
    </xf>
    <xf numFmtId="0" fontId="14" fillId="2" borderId="34" xfId="0" applyFont="1" applyFill="1" applyBorder="1" applyProtection="1">
      <protection locked="0"/>
    </xf>
    <xf numFmtId="0" fontId="1" fillId="0" borderId="3" xfId="0" applyFont="1" applyBorder="1"/>
    <xf numFmtId="0" fontId="1" fillId="0" borderId="6" xfId="0" applyFont="1" applyBorder="1"/>
    <xf numFmtId="0" fontId="1" fillId="0" borderId="0" xfId="0" applyFont="1"/>
    <xf numFmtId="172" fontId="13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20" fontId="35" fillId="0" borderId="6" xfId="0" applyNumberFormat="1" applyFont="1" applyBorder="1" applyAlignment="1">
      <alignment horizontal="left"/>
    </xf>
    <xf numFmtId="20" fontId="36" fillId="0" borderId="6" xfId="0" applyNumberFormat="1" applyFont="1" applyBorder="1" applyAlignment="1">
      <alignment horizontal="left"/>
    </xf>
    <xf numFmtId="0" fontId="1" fillId="0" borderId="11" xfId="0" applyFont="1" applyBorder="1"/>
    <xf numFmtId="172" fontId="3" fillId="0" borderId="28" xfId="0" applyNumberFormat="1" applyFont="1" applyBorder="1" applyAlignment="1">
      <alignment horizontal="right" vertical="center"/>
    </xf>
    <xf numFmtId="172" fontId="3" fillId="0" borderId="27" xfId="0" applyNumberFormat="1" applyFont="1" applyBorder="1" applyAlignment="1">
      <alignment horizontal="right" vertical="center"/>
    </xf>
    <xf numFmtId="172" fontId="10" fillId="0" borderId="0" xfId="0" applyNumberFormat="1" applyFont="1" applyAlignment="1">
      <alignment horizontal="center"/>
    </xf>
    <xf numFmtId="173" fontId="3" fillId="0" borderId="16" xfId="0" applyNumberFormat="1" applyFont="1" applyBorder="1" applyAlignment="1">
      <alignment horizontal="right" vertical="center"/>
    </xf>
    <xf numFmtId="172" fontId="4" fillId="0" borderId="15" xfId="0" applyNumberFormat="1" applyFont="1" applyBorder="1" applyAlignment="1">
      <alignment horizontal="center" vertical="center"/>
    </xf>
    <xf numFmtId="0" fontId="14" fillId="2" borderId="29" xfId="0" quotePrefix="1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27" fillId="0" borderId="0" xfId="0" quotePrefix="1" applyFont="1" applyAlignment="1">
      <alignment horizontal="centerContinuous"/>
    </xf>
    <xf numFmtId="0" fontId="27" fillId="0" borderId="15" xfId="0" quotePrefix="1" applyFont="1" applyBorder="1" applyAlignment="1">
      <alignment horizontal="centerContinuous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22" fillId="0" borderId="4" xfId="0" applyFont="1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1" fillId="0" borderId="6" xfId="0" applyFont="1" applyBorder="1" applyAlignment="1">
      <alignment horizontal="centerContinuous"/>
    </xf>
    <xf numFmtId="172" fontId="10" fillId="2" borderId="31" xfId="0" applyNumberFormat="1" applyFont="1" applyFill="1" applyBorder="1" applyAlignment="1" applyProtection="1">
      <alignment horizontal="right"/>
      <protection locked="0"/>
    </xf>
    <xf numFmtId="172" fontId="10" fillId="2" borderId="16" xfId="0" applyNumberFormat="1" applyFont="1" applyFill="1" applyBorder="1" applyAlignment="1" applyProtection="1">
      <alignment horizontal="right"/>
      <protection locked="0"/>
    </xf>
    <xf numFmtId="172" fontId="10" fillId="2" borderId="27" xfId="0" applyNumberFormat="1" applyFont="1" applyFill="1" applyBorder="1" applyAlignment="1" applyProtection="1">
      <alignment horizontal="right"/>
      <protection locked="0"/>
    </xf>
    <xf numFmtId="0" fontId="38" fillId="0" borderId="0" xfId="0" applyFont="1" applyAlignment="1">
      <alignment horizontal="centerContinuous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173" fontId="0" fillId="0" borderId="12" xfId="0" applyNumberFormat="1" applyBorder="1"/>
    <xf numFmtId="0" fontId="42" fillId="0" borderId="0" xfId="0" applyFont="1" applyAlignment="1">
      <alignment horizontal="left"/>
    </xf>
    <xf numFmtId="0" fontId="0" fillId="0" borderId="35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5" xfId="0" applyBorder="1" applyAlignment="1">
      <alignment horizontal="left"/>
    </xf>
    <xf numFmtId="172" fontId="0" fillId="0" borderId="16" xfId="0" applyNumberFormat="1" applyBorder="1"/>
    <xf numFmtId="172" fontId="0" fillId="0" borderId="0" xfId="0" applyNumberFormat="1"/>
    <xf numFmtId="173" fontId="0" fillId="0" borderId="16" xfId="0" applyNumberFormat="1" applyBorder="1"/>
    <xf numFmtId="172" fontId="44" fillId="0" borderId="0" xfId="0" applyNumberFormat="1" applyFont="1" applyProtection="1">
      <protection locked="0"/>
    </xf>
    <xf numFmtId="0" fontId="0" fillId="0" borderId="12" xfId="0" applyBorder="1" applyAlignment="1">
      <alignment horizontal="left"/>
    </xf>
    <xf numFmtId="172" fontId="0" fillId="0" borderId="30" xfId="0" applyNumberFormat="1" applyBorder="1"/>
    <xf numFmtId="172" fontId="0" fillId="3" borderId="12" xfId="0" applyNumberFormat="1" applyFill="1" applyBorder="1"/>
    <xf numFmtId="172" fontId="0" fillId="0" borderId="12" xfId="0" applyNumberFormat="1" applyBorder="1"/>
    <xf numFmtId="173" fontId="0" fillId="3" borderId="12" xfId="0" applyNumberFormat="1" applyFill="1" applyBorder="1"/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2" fillId="0" borderId="0" xfId="0" applyFont="1" applyAlignment="1">
      <alignment horizontal="center"/>
    </xf>
    <xf numFmtId="170" fontId="0" fillId="0" borderId="0" xfId="0" applyNumberFormat="1"/>
    <xf numFmtId="172" fontId="0" fillId="0" borderId="33" xfId="0" applyNumberFormat="1" applyBorder="1"/>
    <xf numFmtId="173" fontId="0" fillId="0" borderId="0" xfId="0" applyNumberFormat="1"/>
    <xf numFmtId="0" fontId="4" fillId="0" borderId="27" xfId="0" applyFont="1" applyBorder="1" applyAlignment="1">
      <alignment horizontal="centerContinuous"/>
    </xf>
    <xf numFmtId="0" fontId="4" fillId="3" borderId="27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0" xfId="0" applyNumberFormat="1"/>
    <xf numFmtId="173" fontId="0" fillId="0" borderId="31" xfId="0" applyNumberFormat="1" applyBorder="1"/>
    <xf numFmtId="37" fontId="0" fillId="3" borderId="16" xfId="0" applyNumberFormat="1" applyFill="1" applyBorder="1"/>
    <xf numFmtId="181" fontId="11" fillId="0" borderId="0" xfId="1" applyNumberFormat="1" applyFont="1" applyProtection="1"/>
    <xf numFmtId="173" fontId="11" fillId="0" borderId="16" xfId="0" applyNumberFormat="1" applyFont="1" applyBorder="1"/>
    <xf numFmtId="0" fontId="0" fillId="0" borderId="15" xfId="0" quotePrefix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center"/>
    </xf>
    <xf numFmtId="37" fontId="0" fillId="4" borderId="0" xfId="0" applyNumberFormat="1" applyFill="1"/>
    <xf numFmtId="173" fontId="0" fillId="4" borderId="16" xfId="0" applyNumberFormat="1" applyFill="1" applyBorder="1"/>
    <xf numFmtId="37" fontId="0" fillId="4" borderId="16" xfId="0" applyNumberFormat="1" applyFill="1" applyBorder="1"/>
    <xf numFmtId="0" fontId="0" fillId="4" borderId="15" xfId="0" quotePrefix="1" applyFill="1" applyBorder="1" applyAlignment="1">
      <alignment horizontal="left"/>
    </xf>
    <xf numFmtId="0" fontId="0" fillId="0" borderId="28" xfId="0" applyBorder="1" applyAlignment="1">
      <alignment horizontal="left"/>
    </xf>
    <xf numFmtId="37" fontId="0" fillId="0" borderId="36" xfId="0" applyNumberFormat="1" applyBorder="1"/>
    <xf numFmtId="37" fontId="0" fillId="3" borderId="27" xfId="0" applyNumberFormat="1" applyFill="1" applyBorder="1"/>
    <xf numFmtId="0" fontId="46" fillId="0" borderId="27" xfId="0" applyFont="1" applyBorder="1" applyAlignment="1">
      <alignment horizontal="center"/>
    </xf>
    <xf numFmtId="0" fontId="46" fillId="3" borderId="27" xfId="0" applyFont="1" applyFill="1" applyBorder="1" applyAlignment="1">
      <alignment horizontal="center"/>
    </xf>
    <xf numFmtId="171" fontId="0" fillId="0" borderId="0" xfId="0" applyNumberFormat="1"/>
    <xf numFmtId="39" fontId="0" fillId="3" borderId="16" xfId="0" applyNumberFormat="1" applyFill="1" applyBorder="1"/>
    <xf numFmtId="180" fontId="47" fillId="0" borderId="15" xfId="0" quotePrefix="1" applyNumberFormat="1" applyFont="1" applyBorder="1" applyAlignment="1">
      <alignment horizontal="left"/>
    </xf>
    <xf numFmtId="171" fontId="0" fillId="4" borderId="0" xfId="0" applyNumberFormat="1" applyFill="1"/>
    <xf numFmtId="39" fontId="0" fillId="4" borderId="16" xfId="0" applyNumberFormat="1" applyFill="1" applyBorder="1"/>
    <xf numFmtId="171" fontId="0" fillId="0" borderId="36" xfId="0" applyNumberFormat="1" applyBorder="1"/>
    <xf numFmtId="39" fontId="0" fillId="3" borderId="27" xfId="0" applyNumberFormat="1" applyFill="1" applyBorder="1"/>
    <xf numFmtId="0" fontId="4" fillId="0" borderId="27" xfId="0" applyFont="1" applyBorder="1" applyAlignment="1">
      <alignment horizontal="left"/>
    </xf>
    <xf numFmtId="39" fontId="0" fillId="3" borderId="12" xfId="0" applyNumberFormat="1" applyFill="1" applyBorder="1"/>
    <xf numFmtId="0" fontId="0" fillId="0" borderId="0" xfId="0" quotePrefix="1" applyAlignment="1">
      <alignment horizontal="left"/>
    </xf>
    <xf numFmtId="0" fontId="11" fillId="4" borderId="15" xfId="0" applyFont="1" applyFill="1" applyBorder="1" applyAlignment="1">
      <alignment horizontal="left"/>
    </xf>
    <xf numFmtId="174" fontId="30" fillId="0" borderId="18" xfId="0" applyNumberFormat="1" applyFont="1" applyBorder="1"/>
    <xf numFmtId="173" fontId="0" fillId="0" borderId="27" xfId="0" applyNumberFormat="1" applyBorder="1"/>
    <xf numFmtId="181" fontId="50" fillId="2" borderId="12" xfId="1" applyNumberFormat="1" applyFont="1" applyFill="1" applyBorder="1" applyAlignment="1" applyProtection="1">
      <alignment vertical="center"/>
      <protection locked="0"/>
    </xf>
    <xf numFmtId="0" fontId="29" fillId="2" borderId="26" xfId="0" applyFont="1" applyFill="1" applyBorder="1" applyAlignment="1">
      <alignment vertical="center"/>
    </xf>
    <xf numFmtId="0" fontId="24" fillId="0" borderId="0" xfId="0" applyFont="1" applyAlignment="1">
      <alignment horizontal="centerContinuous"/>
    </xf>
    <xf numFmtId="0" fontId="39" fillId="0" borderId="0" xfId="0" applyFont="1" applyAlignment="1">
      <alignment horizontal="center"/>
    </xf>
    <xf numFmtId="0" fontId="0" fillId="0" borderId="32" xfId="0" applyBorder="1"/>
    <xf numFmtId="0" fontId="0" fillId="0" borderId="28" xfId="0" applyBorder="1"/>
    <xf numFmtId="0" fontId="0" fillId="0" borderId="34" xfId="0" applyBorder="1"/>
    <xf numFmtId="0" fontId="11" fillId="0" borderId="28" xfId="0" applyFont="1" applyBorder="1" applyAlignment="1">
      <alignment horizontal="left"/>
    </xf>
    <xf numFmtId="0" fontId="11" fillId="0" borderId="28" xfId="0" applyFont="1" applyBorder="1" applyAlignment="1">
      <alignment horizontal="centerContinuous"/>
    </xf>
    <xf numFmtId="0" fontId="40" fillId="0" borderId="34" xfId="0" applyFont="1" applyBorder="1" applyAlignment="1">
      <alignment horizontal="centerContinuous"/>
    </xf>
    <xf numFmtId="3" fontId="41" fillId="0" borderId="27" xfId="0" applyNumberFormat="1" applyFont="1" applyBorder="1"/>
    <xf numFmtId="0" fontId="39" fillId="0" borderId="0" xfId="0" quotePrefix="1" applyFont="1" applyAlignment="1">
      <alignment horizontal="center"/>
    </xf>
    <xf numFmtId="0" fontId="43" fillId="0" borderId="0" xfId="0" quotePrefix="1" applyFont="1" applyAlignment="1">
      <alignment horizontal="center"/>
    </xf>
    <xf numFmtId="0" fontId="0" fillId="0" borderId="36" xfId="0" applyBorder="1"/>
    <xf numFmtId="172" fontId="41" fillId="0" borderId="16" xfId="0" applyNumberFormat="1" applyFont="1" applyBorder="1"/>
    <xf numFmtId="0" fontId="0" fillId="0" borderId="12" xfId="0" applyBorder="1"/>
    <xf numFmtId="0" fontId="0" fillId="0" borderId="16" xfId="0" applyBorder="1"/>
    <xf numFmtId="0" fontId="0" fillId="0" borderId="33" xfId="0" applyBorder="1"/>
    <xf numFmtId="179" fontId="12" fillId="0" borderId="0" xfId="2" applyNumberFormat="1" applyFont="1" applyProtection="1"/>
    <xf numFmtId="0" fontId="0" fillId="0" borderId="27" xfId="0" applyBorder="1"/>
    <xf numFmtId="177" fontId="0" fillId="0" borderId="0" xfId="0" applyNumberFormat="1"/>
    <xf numFmtId="0" fontId="11" fillId="0" borderId="0" xfId="0" applyFont="1" applyAlignment="1">
      <alignment horizontal="left"/>
    </xf>
    <xf numFmtId="2" fontId="0" fillId="0" borderId="0" xfId="0" applyNumberFormat="1"/>
    <xf numFmtId="173" fontId="41" fillId="0" borderId="16" xfId="0" applyNumberFormat="1" applyFont="1" applyBorder="1"/>
    <xf numFmtId="0" fontId="0" fillId="0" borderId="0" xfId="0" quotePrefix="1" applyAlignment="1">
      <alignment horizontal="centerContinuous" vertical="center"/>
    </xf>
    <xf numFmtId="0" fontId="0" fillId="0" borderId="0" xfId="0" quotePrefix="1" applyAlignment="1">
      <alignment horizontal="centerContinuous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center"/>
    </xf>
    <xf numFmtId="2" fontId="11" fillId="0" borderId="0" xfId="0" applyNumberFormat="1" applyFont="1"/>
    <xf numFmtId="175" fontId="0" fillId="0" borderId="0" xfId="0" applyNumberFormat="1"/>
    <xf numFmtId="168" fontId="0" fillId="0" borderId="0" xfId="0" applyNumberFormat="1"/>
    <xf numFmtId="173" fontId="41" fillId="4" borderId="16" xfId="0" applyNumberFormat="1" applyFont="1" applyFill="1" applyBorder="1"/>
    <xf numFmtId="2" fontId="12" fillId="0" borderId="35" xfId="0" applyNumberFormat="1" applyFont="1" applyBorder="1"/>
    <xf numFmtId="175" fontId="12" fillId="0" borderId="35" xfId="0" applyNumberFormat="1" applyFont="1" applyBorder="1"/>
    <xf numFmtId="183" fontId="0" fillId="0" borderId="0" xfId="0" applyNumberFormat="1"/>
    <xf numFmtId="172" fontId="41" fillId="0" borderId="0" xfId="0" applyNumberFormat="1" applyFont="1" applyProtection="1">
      <protection locked="0"/>
    </xf>
    <xf numFmtId="180" fontId="45" fillId="0" borderId="15" xfId="0" quotePrefix="1" applyNumberFormat="1" applyFont="1" applyBorder="1" applyAlignment="1" applyProtection="1">
      <alignment horizontal="left"/>
      <protection locked="0"/>
    </xf>
    <xf numFmtId="173" fontId="51" fillId="0" borderId="16" xfId="0" applyNumberFormat="1" applyFont="1" applyBorder="1"/>
    <xf numFmtId="173" fontId="51" fillId="0" borderId="27" xfId="0" applyNumberFormat="1" applyFont="1" applyBorder="1"/>
    <xf numFmtId="172" fontId="53" fillId="0" borderId="0" xfId="0" applyNumberFormat="1" applyFont="1" applyProtection="1">
      <protection locked="0"/>
    </xf>
    <xf numFmtId="164" fontId="11" fillId="0" borderId="0" xfId="1" applyFont="1" applyProtection="1"/>
    <xf numFmtId="182" fontId="49" fillId="0" borderId="0" xfId="1" applyNumberFormat="1" applyFont="1" applyAlignment="1" applyProtection="1">
      <alignment horizontal="center"/>
      <protection locked="0"/>
    </xf>
    <xf numFmtId="0" fontId="54" fillId="0" borderId="12" xfId="0" applyFont="1" applyBorder="1" applyAlignment="1">
      <alignment horizontal="center"/>
    </xf>
    <xf numFmtId="181" fontId="54" fillId="0" borderId="12" xfId="1" applyNumberFormat="1" applyFont="1" applyBorder="1" applyProtection="1"/>
    <xf numFmtId="174" fontId="13" fillId="2" borderId="31" xfId="0" applyNumberFormat="1" applyFont="1" applyFill="1" applyBorder="1" applyAlignment="1" applyProtection="1">
      <alignment horizontal="right"/>
      <protection locked="0"/>
    </xf>
    <xf numFmtId="174" fontId="13" fillId="2" borderId="27" xfId="0" applyNumberFormat="1" applyFont="1" applyFill="1" applyBorder="1" applyAlignment="1" applyProtection="1">
      <alignment horizontal="right"/>
      <protection locked="0"/>
    </xf>
    <xf numFmtId="0" fontId="11" fillId="0" borderId="15" xfId="0" applyFont="1" applyBorder="1" applyAlignment="1">
      <alignment horizontal="lef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7" fillId="0" borderId="0" xfId="0" applyFont="1" applyAlignment="1">
      <alignment horizontal="left" vertical="center"/>
    </xf>
    <xf numFmtId="177" fontId="10" fillId="0" borderId="0" xfId="0" applyNumberFormat="1" applyFont="1" applyAlignment="1">
      <alignment horizontal="right" vertical="center"/>
    </xf>
    <xf numFmtId="164" fontId="11" fillId="0" borderId="0" xfId="1" applyFont="1" applyAlignment="1" applyProtection="1">
      <alignment horizontal="center"/>
      <protection locked="0"/>
    </xf>
    <xf numFmtId="181" fontId="11" fillId="0" borderId="0" xfId="1" applyNumberFormat="1" applyFont="1" applyAlignment="1" applyProtection="1">
      <alignment horizontal="center"/>
      <protection locked="0"/>
    </xf>
    <xf numFmtId="43" fontId="52" fillId="0" borderId="0" xfId="3" applyFont="1" applyAlignment="1" applyProtection="1">
      <alignment horizontal="center"/>
      <protection locked="0"/>
    </xf>
    <xf numFmtId="181" fontId="52" fillId="0" borderId="0" xfId="3" applyNumberFormat="1" applyFont="1" applyAlignment="1" applyProtection="1">
      <alignment horizontal="center"/>
      <protection locked="0"/>
    </xf>
    <xf numFmtId="172" fontId="13" fillId="2" borderId="31" xfId="0" applyNumberFormat="1" applyFont="1" applyFill="1" applyBorder="1" applyAlignment="1" applyProtection="1">
      <alignment horizontal="right"/>
      <protection locked="0"/>
    </xf>
    <xf numFmtId="172" fontId="13" fillId="2" borderId="16" xfId="0" applyNumberFormat="1" applyFont="1" applyFill="1" applyBorder="1" applyAlignment="1" applyProtection="1">
      <alignment horizontal="right"/>
      <protection locked="0"/>
    </xf>
    <xf numFmtId="172" fontId="13" fillId="2" borderId="27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D8AAE1D3-AECC-4FFF-A1FD-7C496DF76452}"/>
    <cellStyle name="Normal" xfId="0" builtinId="0"/>
    <cellStyle name="Porcentaje" xfId="2" builtinId="5"/>
    <cellStyle name="Porcentaje 2" xfId="4" xr:uid="{F7A5A72D-7146-494A-AF20-013E976D7C2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</xdr:colOff>
          <xdr:row>1</xdr:row>
          <xdr:rowOff>21431</xdr:rowOff>
        </xdr:from>
        <xdr:to>
          <xdr:col>11</xdr:col>
          <xdr:colOff>26987</xdr:colOff>
          <xdr:row>30</xdr:row>
          <xdr:rowOff>30956</xdr:rowOff>
        </xdr:to>
        <xdr:pic>
          <xdr:nvPicPr>
            <xdr:cNvPr id="9222" name="Picture 1">
              <a:extLst>
                <a:ext uri="{FF2B5EF4-FFF2-40B4-BE49-F238E27FC236}">
                  <a16:creationId xmlns:a16="http://schemas.microsoft.com/office/drawing/2014/main" id="{B91F952A-0CBD-4CFD-8488-004AF93405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9:$R$39" spid="_x0000_s92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79156" y="140494"/>
              <a:ext cx="4414837" cy="51887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79"/>
  <sheetViews>
    <sheetView showGridLines="0" tabSelected="1" topLeftCell="A2" zoomScale="80" workbookViewId="0">
      <pane xSplit="6" ySplit="1" topLeftCell="H3" activePane="bottomRight" state="frozen"/>
      <selection activeCell="C5" sqref="C5"/>
      <selection pane="topRight" activeCell="C5" sqref="C5"/>
      <selection pane="bottomLeft" activeCell="C5" sqref="C5"/>
      <selection pane="bottomRight" activeCell="C4" sqref="C4"/>
    </sheetView>
  </sheetViews>
  <sheetFormatPr baseColWidth="10" defaultColWidth="9.140625" defaultRowHeight="12.75" x14ac:dyDescent="0.2"/>
  <cols>
    <col min="1" max="1" width="3.7109375" style="37" customWidth="1"/>
    <col min="2" max="2" width="17.5703125" style="37" customWidth="1"/>
    <col min="3" max="3" width="14.7109375" style="37" customWidth="1"/>
    <col min="4" max="5" width="12.7109375" style="37" customWidth="1"/>
    <col min="6" max="6" width="3.7109375" style="37" customWidth="1"/>
    <col min="7" max="7" width="1.7109375" style="37" customWidth="1"/>
    <col min="8" max="8" width="21.7109375" style="37" customWidth="1"/>
    <col min="9" max="11" width="13.7109375" style="37" customWidth="1"/>
    <col min="12" max="12" width="10.7109375" style="37" customWidth="1"/>
    <col min="13" max="13" width="3.7109375" style="37" customWidth="1"/>
    <col min="14" max="14" width="10.7109375" style="37" customWidth="1"/>
    <col min="15" max="15" width="18.5703125" style="37" customWidth="1"/>
    <col min="16" max="16" width="13.7109375" style="37" customWidth="1"/>
    <col min="17" max="18" width="12.7109375" style="37" customWidth="1"/>
    <col min="19" max="19" width="10.7109375" style="37" customWidth="1"/>
    <col min="20" max="20" width="9.140625" style="37"/>
    <col min="21" max="26" width="12.7109375" style="37" customWidth="1"/>
    <col min="27" max="27" width="9.140625" style="37"/>
    <col min="28" max="29" width="11.7109375" style="37" customWidth="1"/>
    <col min="30" max="30" width="3.7109375" style="37" customWidth="1"/>
    <col min="31" max="32" width="11.7109375" style="37" customWidth="1"/>
    <col min="33" max="33" width="3.7109375" style="37" customWidth="1"/>
    <col min="34" max="35" width="11.7109375" style="37" customWidth="1"/>
    <col min="36" max="16384" width="9.140625" style="37"/>
  </cols>
  <sheetData>
    <row r="1" spans="2:35" ht="9.9499999999999993" customHeight="1" thickBot="1" x14ac:dyDescent="0.25">
      <c r="S1"/>
    </row>
    <row r="2" spans="2:35" ht="15" customHeight="1" thickTop="1" x14ac:dyDescent="0.2">
      <c r="B2" s="114" t="s">
        <v>0</v>
      </c>
      <c r="C2" s="114"/>
      <c r="D2" s="114"/>
      <c r="E2" s="114"/>
      <c r="F2" s="114"/>
      <c r="N2" s="118"/>
      <c r="O2" s="119"/>
      <c r="P2" s="119"/>
      <c r="Q2" s="119"/>
      <c r="R2" s="119"/>
      <c r="S2" s="202"/>
    </row>
    <row r="3" spans="2:35" ht="20.25" x14ac:dyDescent="0.3">
      <c r="G3"/>
      <c r="H3" s="114"/>
      <c r="I3" s="114"/>
      <c r="J3" s="114"/>
      <c r="K3" s="114"/>
      <c r="L3" s="114"/>
      <c r="M3" s="114"/>
      <c r="N3" s="223" t="s">
        <v>1</v>
      </c>
      <c r="O3" s="224"/>
      <c r="P3" s="224"/>
      <c r="Q3" s="224"/>
      <c r="R3" s="224"/>
      <c r="S3" s="225"/>
      <c r="T3"/>
    </row>
    <row r="4" spans="2:35" ht="14.1" customHeight="1" x14ac:dyDescent="0.2">
      <c r="B4" s="161" t="s">
        <v>2</v>
      </c>
      <c r="C4" s="183" t="s">
        <v>260</v>
      </c>
      <c r="D4" s="293"/>
      <c r="E4"/>
      <c r="F4"/>
      <c r="N4" s="120"/>
      <c r="O4" s="121"/>
      <c r="P4" s="121"/>
      <c r="Q4" s="121"/>
      <c r="R4" s="121"/>
      <c r="S4" s="203"/>
    </row>
    <row r="5" spans="2:35" ht="6.95" customHeight="1" x14ac:dyDescent="0.2">
      <c r="B5" s="161"/>
      <c r="C5" s="164"/>
      <c r="D5" s="160"/>
      <c r="E5"/>
      <c r="F5"/>
      <c r="N5" s="120"/>
      <c r="S5" s="203"/>
    </row>
    <row r="6" spans="2:35" ht="14.1" customHeight="1" x14ac:dyDescent="0.2">
      <c r="B6" s="121" t="s">
        <v>148</v>
      </c>
      <c r="C6" s="20" t="s">
        <v>149</v>
      </c>
      <c r="D6" s="292">
        <v>1000000</v>
      </c>
      <c r="E6"/>
      <c r="F6"/>
      <c r="N6" s="120"/>
      <c r="O6" s="161" t="s">
        <v>2</v>
      </c>
      <c r="P6" s="36" t="str">
        <f>+C4</f>
        <v>BK 2023</v>
      </c>
      <c r="Q6"/>
      <c r="S6" s="203"/>
    </row>
    <row r="7" spans="2:35" ht="14.1" customHeight="1" x14ac:dyDescent="0.2">
      <c r="C7"/>
      <c r="D7"/>
      <c r="E7"/>
      <c r="F7"/>
      <c r="G7"/>
      <c r="H7"/>
      <c r="I7"/>
      <c r="J7"/>
      <c r="K7"/>
      <c r="L7"/>
      <c r="M7"/>
      <c r="N7" s="122"/>
      <c r="O7" s="161" t="s">
        <v>3</v>
      </c>
      <c r="P7" s="165">
        <f>+C32</f>
        <v>0</v>
      </c>
      <c r="Q7" s="20"/>
      <c r="R7" s="165" t="str">
        <f>+IF(E6="","",E6)</f>
        <v/>
      </c>
      <c r="S7" s="203"/>
    </row>
    <row r="8" spans="2:35" ht="14.1" customHeight="1" x14ac:dyDescent="0.2">
      <c r="B8" s="20" t="s">
        <v>4</v>
      </c>
      <c r="C8" s="112" t="s">
        <v>5</v>
      </c>
      <c r="D8" s="38" t="s">
        <v>6</v>
      </c>
      <c r="E8" s="115" t="s">
        <v>7</v>
      </c>
      <c r="F8" s="110"/>
      <c r="G8"/>
      <c r="H8"/>
      <c r="I8"/>
      <c r="J8"/>
      <c r="K8"/>
      <c r="L8"/>
      <c r="M8"/>
      <c r="N8" s="123"/>
      <c r="O8" s="121"/>
      <c r="P8" s="204"/>
      <c r="Q8" s="204"/>
      <c r="R8" s="204"/>
      <c r="S8" s="203"/>
      <c r="AB8" s="36" t="s">
        <v>8</v>
      </c>
      <c r="AC8" s="36"/>
      <c r="AE8" s="36" t="s">
        <v>9</v>
      </c>
      <c r="AF8" s="36"/>
      <c r="AH8" s="36" t="s">
        <v>10</v>
      </c>
      <c r="AI8" s="36"/>
    </row>
    <row r="9" spans="2:35" ht="14.1" customHeight="1" x14ac:dyDescent="0.2">
      <c r="B9" s="19" t="s">
        <v>11</v>
      </c>
      <c r="C9" s="349">
        <v>1.8160000000000001</v>
      </c>
      <c r="D9" s="226"/>
      <c r="E9" s="226"/>
      <c r="F9" s="205"/>
      <c r="G9" s="110"/>
      <c r="H9" s="110"/>
      <c r="I9" s="110"/>
      <c r="J9" s="110"/>
      <c r="K9" s="110"/>
      <c r="L9" s="110"/>
      <c r="M9" s="110"/>
      <c r="N9" s="124"/>
      <c r="O9" s="206" t="s">
        <v>4</v>
      </c>
      <c r="P9" s="125" t="s">
        <v>5</v>
      </c>
      <c r="Q9" s="126" t="s">
        <v>6</v>
      </c>
      <c r="R9" s="127" t="s">
        <v>7</v>
      </c>
      <c r="S9" s="203"/>
      <c r="U9" s="35" t="s">
        <v>12</v>
      </c>
      <c r="V9" s="20" t="s">
        <v>13</v>
      </c>
      <c r="W9" s="20" t="s">
        <v>14</v>
      </c>
      <c r="X9" s="20" t="s">
        <v>15</v>
      </c>
      <c r="Y9" s="35" t="s">
        <v>16</v>
      </c>
      <c r="Z9" s="35" t="s">
        <v>17</v>
      </c>
      <c r="AB9" s="20" t="s">
        <v>18</v>
      </c>
      <c r="AC9" s="20" t="s">
        <v>19</v>
      </c>
      <c r="AE9" s="35" t="s">
        <v>20</v>
      </c>
      <c r="AF9" s="20" t="s">
        <v>19</v>
      </c>
      <c r="AH9" s="35" t="s">
        <v>20</v>
      </c>
      <c r="AI9" s="20" t="s">
        <v>18</v>
      </c>
    </row>
    <row r="10" spans="2:35" ht="14.1" customHeight="1" x14ac:dyDescent="0.25">
      <c r="B10" s="19" t="s">
        <v>21</v>
      </c>
      <c r="C10" s="350">
        <v>0.29899999999999999</v>
      </c>
      <c r="D10" s="227"/>
      <c r="E10" s="227"/>
      <c r="F10" s="205"/>
      <c r="G10" s="205"/>
      <c r="H10" s="205"/>
      <c r="I10" s="205"/>
      <c r="J10" s="205"/>
      <c r="K10" s="205"/>
      <c r="L10" s="205"/>
      <c r="M10" s="205"/>
      <c r="N10" s="128"/>
      <c r="O10" s="133" t="str">
        <f t="shared" ref="O10:O22" si="0">+B9</f>
        <v>N2</v>
      </c>
      <c r="P10" s="188">
        <f t="shared" ref="P10:P22" si="1">+IF($C$11=0,IF($D$11=0,ROUND(AH10,3),ROUND(AE10,3)),C9)</f>
        <v>1.8160000000000001</v>
      </c>
      <c r="Q10" s="189">
        <f t="shared" ref="Q10:Q22" si="2">+IF($C$11=0,IF($D$11=0,ROUND(AI10,3),D9),ROUND(AB10,3))</f>
        <v>1.821</v>
      </c>
      <c r="R10" s="189">
        <f t="shared" ref="R10:R22" si="3">+IF($C$11=0,IF($D$11=0,E9,ROUND(AF10,3)),ROUND(AC10,3))</f>
        <v>2.8290000000000002</v>
      </c>
      <c r="S10" s="203"/>
      <c r="U10" s="39">
        <f>+C9*Propiedades!V26</f>
        <v>1.8154552000000002</v>
      </c>
      <c r="V10" s="39">
        <f>+D9/Propiedades!V26</f>
        <v>0</v>
      </c>
      <c r="W10" s="39">
        <f>+C9*Propiedades!E26</f>
        <v>50.872516000000005</v>
      </c>
      <c r="X10" s="39">
        <f>+E9/Propiedades!E26</f>
        <v>0</v>
      </c>
      <c r="Y10" s="39">
        <f>+V10*Propiedades!E26</f>
        <v>0</v>
      </c>
      <c r="Z10" s="39">
        <f>+X10*Propiedades!V26</f>
        <v>0</v>
      </c>
      <c r="AB10" s="39">
        <f t="shared" ref="AB10:AB22" si="4">+U10/$U$25*100</f>
        <v>1.821196766847855</v>
      </c>
      <c r="AC10" s="39">
        <f t="shared" ref="AC10:AC22" si="5">+W10/$W$25*100</f>
        <v>2.8289027737001695</v>
      </c>
      <c r="AE10" s="39" t="e">
        <f t="shared" ref="AE10:AE22" si="6">+V10/$V$25*100</f>
        <v>#DIV/0!</v>
      </c>
      <c r="AF10" s="39" t="e">
        <f t="shared" ref="AF10:AF22" si="7">+Y10/$Y$25*100</f>
        <v>#DIV/0!</v>
      </c>
      <c r="AH10" s="39" t="e">
        <f t="shared" ref="AH10:AH22" si="8">+X10/$X$25*100</f>
        <v>#DIV/0!</v>
      </c>
      <c r="AI10" s="39" t="e">
        <f t="shared" ref="AI10:AI22" si="9">+Z10/$Z$25*100</f>
        <v>#DIV/0!</v>
      </c>
    </row>
    <row r="11" spans="2:35" ht="14.1" customHeight="1" x14ac:dyDescent="0.25">
      <c r="B11" s="19" t="s">
        <v>22</v>
      </c>
      <c r="C11" s="350">
        <v>91.218999999999994</v>
      </c>
      <c r="D11" s="227"/>
      <c r="E11" s="227"/>
      <c r="F11" s="205"/>
      <c r="G11" s="205"/>
      <c r="H11" s="205"/>
      <c r="I11" s="205"/>
      <c r="J11" s="205"/>
      <c r="K11" s="205"/>
      <c r="L11" s="205"/>
      <c r="M11" s="205"/>
      <c r="N11" s="128"/>
      <c r="O11" s="133" t="str">
        <f t="shared" si="0"/>
        <v>CO2</v>
      </c>
      <c r="P11" s="188">
        <f t="shared" si="1"/>
        <v>0.29899999999999999</v>
      </c>
      <c r="Q11" s="189">
        <f t="shared" si="2"/>
        <v>0.29799999999999999</v>
      </c>
      <c r="R11" s="189">
        <f t="shared" si="3"/>
        <v>0.73199999999999998</v>
      </c>
      <c r="S11" s="203"/>
      <c r="U11" s="39">
        <f>+C10*Propiedades!V27</f>
        <v>0.29732559999999997</v>
      </c>
      <c r="V11" s="39">
        <f>+D10/Propiedades!V27</f>
        <v>0</v>
      </c>
      <c r="W11" s="39">
        <f>+C10*Propiedades!E27</f>
        <v>13.158930199999999</v>
      </c>
      <c r="X11" s="39">
        <f>+E10/Propiedades!E27</f>
        <v>0</v>
      </c>
      <c r="Y11" s="39">
        <f>+V11*Propiedades!E27</f>
        <v>0</v>
      </c>
      <c r="Z11" s="39">
        <f>+X11*Propiedades!V27</f>
        <v>0</v>
      </c>
      <c r="AB11" s="39">
        <f t="shared" si="4"/>
        <v>0.29826592329080798</v>
      </c>
      <c r="AC11" s="39">
        <f t="shared" si="5"/>
        <v>0.73173762708545653</v>
      </c>
      <c r="AE11" s="39" t="e">
        <f t="shared" si="6"/>
        <v>#DIV/0!</v>
      </c>
      <c r="AF11" s="39" t="e">
        <f t="shared" si="7"/>
        <v>#DIV/0!</v>
      </c>
      <c r="AH11" s="39" t="e">
        <f t="shared" si="8"/>
        <v>#DIV/0!</v>
      </c>
      <c r="AI11" s="39" t="e">
        <f t="shared" si="9"/>
        <v>#DIV/0!</v>
      </c>
    </row>
    <row r="12" spans="2:35" ht="14.1" customHeight="1" x14ac:dyDescent="0.25">
      <c r="B12" s="19" t="s">
        <v>23</v>
      </c>
      <c r="C12" s="350">
        <v>3.9119999999999999</v>
      </c>
      <c r="D12" s="227"/>
      <c r="E12" s="227"/>
      <c r="F12" s="205"/>
      <c r="G12" s="205"/>
      <c r="H12" s="205"/>
      <c r="I12" s="205"/>
      <c r="J12" s="205"/>
      <c r="K12" s="205"/>
      <c r="L12" s="205"/>
      <c r="M12" s="205"/>
      <c r="N12" s="128"/>
      <c r="O12" s="133" t="str">
        <f t="shared" si="0"/>
        <v>CH4</v>
      </c>
      <c r="P12" s="188">
        <f t="shared" si="1"/>
        <v>91.218999999999994</v>
      </c>
      <c r="Q12" s="189">
        <f t="shared" si="2"/>
        <v>91.323999999999998</v>
      </c>
      <c r="R12" s="189">
        <f t="shared" si="3"/>
        <v>81.376999999999995</v>
      </c>
      <c r="S12" s="203"/>
      <c r="U12" s="39">
        <f>+C11*Propiedades!V13</f>
        <v>91.036561999999989</v>
      </c>
      <c r="V12" s="39">
        <f>+D11/Propiedades!V13</f>
        <v>0</v>
      </c>
      <c r="W12" s="39">
        <f>+C11*Propiedades!E13</f>
        <v>1463.4081732</v>
      </c>
      <c r="X12" s="39">
        <f>+E11/Propiedades!E13</f>
        <v>0</v>
      </c>
      <c r="Y12" s="39">
        <f>+V12*Propiedades!E13</f>
        <v>0</v>
      </c>
      <c r="Z12" s="39">
        <f>+X12*Propiedades!V13</f>
        <v>0</v>
      </c>
      <c r="AB12" s="39">
        <f t="shared" si="4"/>
        <v>91.324474643794161</v>
      </c>
      <c r="AC12" s="39">
        <f t="shared" si="5"/>
        <v>81.376738674001842</v>
      </c>
      <c r="AE12" s="39" t="e">
        <f t="shared" si="6"/>
        <v>#DIV/0!</v>
      </c>
      <c r="AF12" s="39" t="e">
        <f t="shared" si="7"/>
        <v>#DIV/0!</v>
      </c>
      <c r="AH12" s="39" t="e">
        <f t="shared" si="8"/>
        <v>#DIV/0!</v>
      </c>
      <c r="AI12" s="39" t="e">
        <f t="shared" si="9"/>
        <v>#DIV/0!</v>
      </c>
    </row>
    <row r="13" spans="2:35" ht="14.1" customHeight="1" x14ac:dyDescent="0.25">
      <c r="B13" s="19" t="s">
        <v>24</v>
      </c>
      <c r="C13" s="350">
        <v>1.458</v>
      </c>
      <c r="D13" s="227"/>
      <c r="E13" s="227"/>
      <c r="F13" s="205"/>
      <c r="G13" s="205"/>
      <c r="H13" s="205"/>
      <c r="I13" s="205"/>
      <c r="J13" s="205"/>
      <c r="K13" s="205"/>
      <c r="L13" s="205"/>
      <c r="M13" s="205"/>
      <c r="N13" s="128"/>
      <c r="O13" s="133" t="str">
        <f t="shared" si="0"/>
        <v>C2H6</v>
      </c>
      <c r="P13" s="188">
        <f t="shared" si="1"/>
        <v>3.9119999999999999</v>
      </c>
      <c r="Q13" s="189">
        <f t="shared" si="2"/>
        <v>3.891</v>
      </c>
      <c r="R13" s="189">
        <f t="shared" si="3"/>
        <v>6.5410000000000004</v>
      </c>
      <c r="S13" s="203"/>
      <c r="U13" s="39">
        <f>+C12*Propiedades!V14</f>
        <v>3.8787480000000003</v>
      </c>
      <c r="V13" s="39">
        <f>+D12/Propiedades!V14</f>
        <v>0</v>
      </c>
      <c r="W13" s="39">
        <f>+C12*Propiedades!E14</f>
        <v>117.63227520000001</v>
      </c>
      <c r="X13" s="39">
        <f>+E12/Propiedades!E14</f>
        <v>0</v>
      </c>
      <c r="Y13" s="39">
        <f>+V13*Propiedades!E14</f>
        <v>0</v>
      </c>
      <c r="Z13" s="39">
        <f>+X13*Propiedades!V14</f>
        <v>0</v>
      </c>
      <c r="AB13" s="39">
        <f t="shared" si="4"/>
        <v>3.8910149460133105</v>
      </c>
      <c r="AC13" s="39">
        <f t="shared" si="5"/>
        <v>6.5412583405535063</v>
      </c>
      <c r="AE13" s="39" t="e">
        <f t="shared" si="6"/>
        <v>#DIV/0!</v>
      </c>
      <c r="AF13" s="39" t="e">
        <f t="shared" si="7"/>
        <v>#DIV/0!</v>
      </c>
      <c r="AH13" s="39" t="e">
        <f t="shared" si="8"/>
        <v>#DIV/0!</v>
      </c>
      <c r="AI13" s="39" t="e">
        <f t="shared" si="9"/>
        <v>#DIV/0!</v>
      </c>
    </row>
    <row r="14" spans="2:35" ht="14.1" customHeight="1" x14ac:dyDescent="0.25">
      <c r="B14" s="19" t="s">
        <v>25</v>
      </c>
      <c r="C14" s="350">
        <v>0.191</v>
      </c>
      <c r="D14" s="227"/>
      <c r="E14" s="227"/>
      <c r="F14" s="205"/>
      <c r="G14" s="205"/>
      <c r="H14" s="205"/>
      <c r="I14" s="205"/>
      <c r="J14" s="205"/>
      <c r="K14" s="205"/>
      <c r="L14" s="205"/>
      <c r="M14" s="205"/>
      <c r="N14" s="128"/>
      <c r="O14" s="133" t="str">
        <f t="shared" si="0"/>
        <v>C3H8</v>
      </c>
      <c r="P14" s="188">
        <f t="shared" si="1"/>
        <v>1.458</v>
      </c>
      <c r="Q14" s="189">
        <f t="shared" si="2"/>
        <v>1.4359999999999999</v>
      </c>
      <c r="R14" s="189">
        <f t="shared" si="3"/>
        <v>3.5750000000000002</v>
      </c>
      <c r="S14" s="203"/>
      <c r="U14" s="39">
        <f>+C13*Propiedades!V15</f>
        <v>1.4319017999999999</v>
      </c>
      <c r="V14" s="39">
        <f>+D13/Propiedades!V15</f>
        <v>0</v>
      </c>
      <c r="W14" s="39">
        <f>+C13*Propiedades!E15</f>
        <v>64.29269699999999</v>
      </c>
      <c r="X14" s="39">
        <f>+E13/Propiedades!E15</f>
        <v>0</v>
      </c>
      <c r="Y14" s="39">
        <f>+V14*Propiedades!E15</f>
        <v>0</v>
      </c>
      <c r="Z14" s="39">
        <f>+X14*Propiedades!V15</f>
        <v>0</v>
      </c>
      <c r="AB14" s="39">
        <f t="shared" si="4"/>
        <v>1.4364303391257593</v>
      </c>
      <c r="AC14" s="39">
        <f t="shared" si="5"/>
        <v>3.5751679526124582</v>
      </c>
      <c r="AE14" s="39" t="e">
        <f t="shared" si="6"/>
        <v>#DIV/0!</v>
      </c>
      <c r="AF14" s="39" t="e">
        <f t="shared" si="7"/>
        <v>#DIV/0!</v>
      </c>
      <c r="AH14" s="39" t="e">
        <f t="shared" si="8"/>
        <v>#DIV/0!</v>
      </c>
      <c r="AI14" s="39" t="e">
        <f t="shared" si="9"/>
        <v>#DIV/0!</v>
      </c>
    </row>
    <row r="15" spans="2:35" ht="14.1" customHeight="1" x14ac:dyDescent="0.25">
      <c r="B15" s="19" t="s">
        <v>26</v>
      </c>
      <c r="C15" s="350">
        <v>0.49299999999999999</v>
      </c>
      <c r="D15" s="227"/>
      <c r="E15" s="227"/>
      <c r="F15" s="205"/>
      <c r="G15" s="205"/>
      <c r="H15" s="205"/>
      <c r="I15" s="205"/>
      <c r="J15" s="205"/>
      <c r="K15" s="205"/>
      <c r="L15" s="205"/>
      <c r="M15" s="205"/>
      <c r="N15" s="128"/>
      <c r="O15" s="133" t="str">
        <f t="shared" si="0"/>
        <v>iC4H10</v>
      </c>
      <c r="P15" s="188">
        <f t="shared" si="1"/>
        <v>0.191</v>
      </c>
      <c r="Q15" s="189">
        <f t="shared" si="2"/>
        <v>0.185</v>
      </c>
      <c r="R15" s="189">
        <f t="shared" si="3"/>
        <v>0.61699999999999999</v>
      </c>
      <c r="S15" s="203"/>
      <c r="U15" s="39">
        <f>+C14*Propiedades!V16</f>
        <v>0.184888</v>
      </c>
      <c r="V15" s="39">
        <f>+D14/Propiedades!V16</f>
        <v>0</v>
      </c>
      <c r="W15" s="39">
        <f>+C14*Propiedades!E16</f>
        <v>11.101569399999999</v>
      </c>
      <c r="X15" s="39">
        <f>+E14/Propiedades!E16</f>
        <v>0</v>
      </c>
      <c r="Y15" s="39">
        <f>+V15*Propiedades!E16</f>
        <v>0</v>
      </c>
      <c r="Z15" s="39">
        <f>+X15*Propiedades!V16</f>
        <v>0</v>
      </c>
      <c r="AB15" s="39">
        <f t="shared" si="4"/>
        <v>0.18547272762719022</v>
      </c>
      <c r="AC15" s="39">
        <f t="shared" si="5"/>
        <v>0.61733255866654835</v>
      </c>
      <c r="AE15" s="39" t="e">
        <f t="shared" si="6"/>
        <v>#DIV/0!</v>
      </c>
      <c r="AF15" s="39" t="e">
        <f t="shared" si="7"/>
        <v>#DIV/0!</v>
      </c>
      <c r="AH15" s="39" t="e">
        <f t="shared" si="8"/>
        <v>#DIV/0!</v>
      </c>
      <c r="AI15" s="39" t="e">
        <f t="shared" si="9"/>
        <v>#DIV/0!</v>
      </c>
    </row>
    <row r="16" spans="2:35" ht="14.1" customHeight="1" x14ac:dyDescent="0.25">
      <c r="B16" s="19" t="s">
        <v>27</v>
      </c>
      <c r="C16" s="350">
        <v>0.14699999999999999</v>
      </c>
      <c r="D16" s="227"/>
      <c r="E16" s="227"/>
      <c r="F16" s="205"/>
      <c r="G16" s="205"/>
      <c r="H16" s="205"/>
      <c r="I16" s="205"/>
      <c r="J16" s="205"/>
      <c r="K16" s="205"/>
      <c r="L16" s="205"/>
      <c r="M16" s="205"/>
      <c r="N16" s="128"/>
      <c r="O16" s="133" t="str">
        <f t="shared" si="0"/>
        <v>nC4H10</v>
      </c>
      <c r="P16" s="188">
        <f t="shared" si="1"/>
        <v>0.49299999999999999</v>
      </c>
      <c r="Q16" s="189">
        <f t="shared" si="2"/>
        <v>0.47699999999999998</v>
      </c>
      <c r="R16" s="189">
        <f t="shared" si="3"/>
        <v>1.593</v>
      </c>
      <c r="S16" s="203"/>
      <c r="U16" s="39">
        <f>+C15*Propiedades!V17</f>
        <v>0.47574499999999997</v>
      </c>
      <c r="V16" s="39">
        <f>+D15/Propiedades!V17</f>
        <v>0</v>
      </c>
      <c r="W16" s="39">
        <f>+C15*Propiedades!E17</f>
        <v>28.654836199999998</v>
      </c>
      <c r="X16" s="39">
        <f>+E15/Propiedades!E17</f>
        <v>0</v>
      </c>
      <c r="Y16" s="39">
        <f>+V16*Propiedades!E17</f>
        <v>0</v>
      </c>
      <c r="Z16" s="39">
        <f>+X16*Propiedades!V17</f>
        <v>0</v>
      </c>
      <c r="AB16" s="39">
        <f t="shared" si="4"/>
        <v>0.47724959329430577</v>
      </c>
      <c r="AC16" s="39">
        <f t="shared" si="5"/>
        <v>1.5934290650398344</v>
      </c>
      <c r="AE16" s="39" t="e">
        <f t="shared" si="6"/>
        <v>#DIV/0!</v>
      </c>
      <c r="AF16" s="39" t="e">
        <f t="shared" si="7"/>
        <v>#DIV/0!</v>
      </c>
      <c r="AH16" s="39" t="e">
        <f t="shared" si="8"/>
        <v>#DIV/0!</v>
      </c>
      <c r="AI16" s="39" t="e">
        <f t="shared" si="9"/>
        <v>#DIV/0!</v>
      </c>
    </row>
    <row r="17" spans="1:35" ht="14.1" customHeight="1" x14ac:dyDescent="0.25">
      <c r="B17" s="19" t="s">
        <v>28</v>
      </c>
      <c r="C17" s="350">
        <v>0.189</v>
      </c>
      <c r="D17" s="227"/>
      <c r="E17" s="227"/>
      <c r="F17" s="205"/>
      <c r="G17" s="205"/>
      <c r="H17" s="205"/>
      <c r="I17" s="205"/>
      <c r="J17" s="205"/>
      <c r="K17" s="205"/>
      <c r="L17" s="205"/>
      <c r="M17" s="205"/>
      <c r="N17" s="128"/>
      <c r="O17" s="133" t="str">
        <f t="shared" si="0"/>
        <v>iC5H12</v>
      </c>
      <c r="P17" s="188">
        <f t="shared" si="1"/>
        <v>0.14699999999999999</v>
      </c>
      <c r="Q17" s="189">
        <f t="shared" si="2"/>
        <v>0.14000000000000001</v>
      </c>
      <c r="R17" s="189">
        <f t="shared" si="3"/>
        <v>0.59</v>
      </c>
      <c r="S17" s="203"/>
      <c r="U17" s="39">
        <f>+C16*Propiedades!V19</f>
        <v>0.13935599999999998</v>
      </c>
      <c r="V17" s="39">
        <f>+D16/Propiedades!V19</f>
        <v>0</v>
      </c>
      <c r="W17" s="39">
        <f>+C16*Propiedades!E19</f>
        <v>10.6060941</v>
      </c>
      <c r="X17" s="39">
        <f>+E16/Propiedades!E19</f>
        <v>0</v>
      </c>
      <c r="Y17" s="39">
        <f>+V17*Propiedades!E19</f>
        <v>0</v>
      </c>
      <c r="Z17" s="39">
        <f>+X17*Propiedades!V19</f>
        <v>0</v>
      </c>
      <c r="AB17" s="39">
        <f t="shared" si="4"/>
        <v>0.13979672791752151</v>
      </c>
      <c r="AC17" s="39">
        <f t="shared" si="5"/>
        <v>0.58978032495218047</v>
      </c>
      <c r="AE17" s="39" t="e">
        <f t="shared" si="6"/>
        <v>#DIV/0!</v>
      </c>
      <c r="AF17" s="39" t="e">
        <f t="shared" si="7"/>
        <v>#DIV/0!</v>
      </c>
      <c r="AH17" s="39" t="e">
        <f t="shared" si="8"/>
        <v>#DIV/0!</v>
      </c>
      <c r="AI17" s="39" t="e">
        <f t="shared" si="9"/>
        <v>#DIV/0!</v>
      </c>
    </row>
    <row r="18" spans="1:35" ht="14.1" customHeight="1" x14ac:dyDescent="0.25">
      <c r="B18" s="19" t="s">
        <v>29</v>
      </c>
      <c r="C18" s="350">
        <v>0.218</v>
      </c>
      <c r="D18" s="227"/>
      <c r="E18" s="227"/>
      <c r="F18" s="205"/>
      <c r="G18" s="205"/>
      <c r="H18" s="205"/>
      <c r="I18" s="205"/>
      <c r="J18" s="205"/>
      <c r="K18" s="205"/>
      <c r="L18" s="205"/>
      <c r="M18" s="205"/>
      <c r="N18" s="128"/>
      <c r="O18" s="133" t="str">
        <f t="shared" si="0"/>
        <v>nC5H12</v>
      </c>
      <c r="P18" s="188">
        <f t="shared" si="1"/>
        <v>0.189</v>
      </c>
      <c r="Q18" s="189">
        <f t="shared" si="2"/>
        <v>0.17799999999999999</v>
      </c>
      <c r="R18" s="189">
        <f t="shared" si="3"/>
        <v>0.75800000000000001</v>
      </c>
      <c r="S18" s="203"/>
      <c r="U18" s="39">
        <f>+C17*Propiedades!V20</f>
        <v>0.177093</v>
      </c>
      <c r="V18" s="39">
        <f>+D17/Propiedades!V20</f>
        <v>0</v>
      </c>
      <c r="W18" s="39">
        <f>+C17*Propiedades!E20</f>
        <v>13.6364067</v>
      </c>
      <c r="X18" s="39">
        <f>+E17/Propiedades!E20</f>
        <v>0</v>
      </c>
      <c r="Y18" s="39">
        <f>+V18*Propiedades!E20</f>
        <v>0</v>
      </c>
      <c r="Z18" s="39">
        <f>+X18*Propiedades!V20</f>
        <v>0</v>
      </c>
      <c r="AB18" s="39">
        <f t="shared" si="4"/>
        <v>0.17765307512484313</v>
      </c>
      <c r="AC18" s="39">
        <f t="shared" si="5"/>
        <v>0.75828898922423205</v>
      </c>
      <c r="AE18" s="39" t="e">
        <f t="shared" si="6"/>
        <v>#DIV/0!</v>
      </c>
      <c r="AF18" s="39" t="e">
        <f t="shared" si="7"/>
        <v>#DIV/0!</v>
      </c>
      <c r="AH18" s="39" t="e">
        <f t="shared" si="8"/>
        <v>#DIV/0!</v>
      </c>
      <c r="AI18" s="39" t="e">
        <f t="shared" si="9"/>
        <v>#DIV/0!</v>
      </c>
    </row>
    <row r="19" spans="1:35" ht="14.1" customHeight="1" x14ac:dyDescent="0.25">
      <c r="B19" s="35" t="s">
        <v>30</v>
      </c>
      <c r="C19" s="350">
        <v>3.3000000000000002E-2</v>
      </c>
      <c r="D19" s="227"/>
      <c r="E19" s="227"/>
      <c r="F19" s="205"/>
      <c r="G19" s="205"/>
      <c r="H19" s="205"/>
      <c r="I19" s="205"/>
      <c r="J19" s="220"/>
      <c r="K19" s="219"/>
      <c r="L19" s="205"/>
      <c r="M19" s="205"/>
      <c r="N19" s="128"/>
      <c r="O19" s="133" t="str">
        <f t="shared" si="0"/>
        <v>C6H14</v>
      </c>
      <c r="P19" s="188">
        <f t="shared" si="1"/>
        <v>0.218</v>
      </c>
      <c r="Q19" s="189">
        <f t="shared" si="2"/>
        <v>0.2</v>
      </c>
      <c r="R19" s="189">
        <f t="shared" si="3"/>
        <v>1.0449999999999999</v>
      </c>
      <c r="S19" s="203"/>
      <c r="U19" s="39">
        <f>+C18*Propiedades!V21</f>
        <v>0.19903400000000002</v>
      </c>
      <c r="V19" s="39">
        <f>+D18/Propiedades!V21</f>
        <v>0</v>
      </c>
      <c r="W19" s="39">
        <f>+C18*Propiedades!E21</f>
        <v>18.786629600000001</v>
      </c>
      <c r="X19" s="39">
        <f>+E18/Propiedades!E21</f>
        <v>0</v>
      </c>
      <c r="Y19" s="39">
        <f>+V19*Propiedades!E21</f>
        <v>0</v>
      </c>
      <c r="Z19" s="39">
        <f>+X19*Propiedades!V21</f>
        <v>0</v>
      </c>
      <c r="AB19" s="39">
        <f t="shared" si="4"/>
        <v>0.19966346583093647</v>
      </c>
      <c r="AC19" s="39">
        <f t="shared" si="5"/>
        <v>1.0446809547205747</v>
      </c>
      <c r="AE19" s="39" t="e">
        <f t="shared" si="6"/>
        <v>#DIV/0!</v>
      </c>
      <c r="AF19" s="39" t="e">
        <f t="shared" si="7"/>
        <v>#DIV/0!</v>
      </c>
      <c r="AH19" s="39" t="e">
        <f t="shared" si="8"/>
        <v>#DIV/0!</v>
      </c>
      <c r="AI19" s="39" t="e">
        <f t="shared" si="9"/>
        <v>#DIV/0!</v>
      </c>
    </row>
    <row r="20" spans="1:35" ht="14.1" customHeight="1" x14ac:dyDescent="0.25">
      <c r="B20" s="35" t="s">
        <v>31</v>
      </c>
      <c r="C20" s="350">
        <v>2.5000000000000001E-2</v>
      </c>
      <c r="D20" s="227"/>
      <c r="E20" s="227"/>
      <c r="F20" s="205"/>
      <c r="G20" s="205"/>
      <c r="H20" s="205"/>
      <c r="I20" s="205"/>
      <c r="J20" s="205"/>
      <c r="K20" s="205"/>
      <c r="L20" s="205"/>
      <c r="M20" s="205"/>
      <c r="N20" s="128"/>
      <c r="O20" s="139" t="str">
        <f t="shared" si="0"/>
        <v>C7H16</v>
      </c>
      <c r="P20" s="188">
        <f t="shared" si="1"/>
        <v>3.3000000000000002E-2</v>
      </c>
      <c r="Q20" s="189">
        <f t="shared" si="2"/>
        <v>2.9000000000000001E-2</v>
      </c>
      <c r="R20" s="189">
        <f t="shared" si="3"/>
        <v>0.184</v>
      </c>
      <c r="S20" s="203"/>
      <c r="U20" s="39">
        <f>+C19*Propiedades!V22</f>
        <v>2.8578000000000003E-2</v>
      </c>
      <c r="V20" s="39">
        <f>+D19/Propiedades!V22</f>
        <v>0</v>
      </c>
      <c r="W20" s="39">
        <f>+C19*Propiedades!E22</f>
        <v>3.3067319999999998</v>
      </c>
      <c r="X20" s="39">
        <f>+E19/Propiedades!E22</f>
        <v>0</v>
      </c>
      <c r="Y20" s="39">
        <f>+V20*Propiedades!E22</f>
        <v>0</v>
      </c>
      <c r="Z20" s="39">
        <f>+X20*Propiedades!V22</f>
        <v>0</v>
      </c>
      <c r="AB20" s="39">
        <f t="shared" si="4"/>
        <v>2.8668380912389352E-2</v>
      </c>
      <c r="AC20" s="39">
        <f t="shared" si="5"/>
        <v>0.18387970680835028</v>
      </c>
      <c r="AE20" s="39" t="e">
        <f t="shared" si="6"/>
        <v>#DIV/0!</v>
      </c>
      <c r="AF20" s="39" t="e">
        <f t="shared" si="7"/>
        <v>#DIV/0!</v>
      </c>
      <c r="AH20" s="39" t="e">
        <f t="shared" si="8"/>
        <v>#DIV/0!</v>
      </c>
      <c r="AI20" s="39" t="e">
        <f t="shared" si="9"/>
        <v>#DIV/0!</v>
      </c>
    </row>
    <row r="21" spans="1:35" ht="14.1" customHeight="1" x14ac:dyDescent="0.25">
      <c r="B21" s="20" t="s">
        <v>32</v>
      </c>
      <c r="C21" s="351">
        <v>0</v>
      </c>
      <c r="D21" s="228"/>
      <c r="E21" s="228"/>
      <c r="F21" s="205"/>
      <c r="G21" s="205"/>
      <c r="H21" s="205"/>
      <c r="I21" s="205"/>
      <c r="J21" s="205"/>
      <c r="K21" s="205"/>
      <c r="L21" s="205"/>
      <c r="M21" s="205"/>
      <c r="N21" s="128"/>
      <c r="O21" s="139" t="str">
        <f t="shared" si="0"/>
        <v>C8H18+</v>
      </c>
      <c r="P21" s="188">
        <f t="shared" si="1"/>
        <v>2.5000000000000001E-2</v>
      </c>
      <c r="Q21" s="189">
        <f t="shared" si="2"/>
        <v>0.02</v>
      </c>
      <c r="R21" s="189">
        <f t="shared" si="3"/>
        <v>0.159</v>
      </c>
      <c r="S21" s="203"/>
      <c r="U21" s="39">
        <f>+C20*Propiedades!V23</f>
        <v>2.0050000000000002E-2</v>
      </c>
      <c r="V21" s="39">
        <f>+D20/Propiedades!V23</f>
        <v>0</v>
      </c>
      <c r="W21" s="39">
        <f>+C20*Propiedades!E23</f>
        <v>2.855775</v>
      </c>
      <c r="X21" s="39">
        <f>+E20/Propiedades!E23</f>
        <v>0</v>
      </c>
      <c r="Y21" s="39">
        <f>+V21*Propiedades!E23</f>
        <v>0</v>
      </c>
      <c r="Z21" s="39">
        <f>+X21*Propiedades!V23</f>
        <v>0</v>
      </c>
      <c r="AB21" s="39">
        <f t="shared" si="4"/>
        <v>2.0113410220918417E-2</v>
      </c>
      <c r="AC21" s="39">
        <f t="shared" si="5"/>
        <v>0.15880303263482387</v>
      </c>
      <c r="AE21" s="39" t="e">
        <f t="shared" si="6"/>
        <v>#DIV/0!</v>
      </c>
      <c r="AF21" s="39" t="e">
        <f t="shared" si="7"/>
        <v>#DIV/0!</v>
      </c>
      <c r="AH21" s="39" t="e">
        <f t="shared" si="8"/>
        <v>#DIV/0!</v>
      </c>
      <c r="AI21" s="39" t="e">
        <f t="shared" si="9"/>
        <v>#DIV/0!</v>
      </c>
    </row>
    <row r="22" spans="1:35" ht="14.1" customHeight="1" x14ac:dyDescent="0.25">
      <c r="B22" s="20" t="s">
        <v>249</v>
      </c>
      <c r="C22" s="35" t="s">
        <v>33</v>
      </c>
      <c r="D22" s="336"/>
      <c r="E22" s="336"/>
      <c r="F22" s="205"/>
      <c r="G22" s="205"/>
      <c r="H22" s="205"/>
      <c r="I22" s="205"/>
      <c r="J22" s="205"/>
      <c r="K22" s="205"/>
      <c r="L22" s="205"/>
      <c r="M22" s="205"/>
      <c r="N22" s="128"/>
      <c r="O22" s="141" t="str">
        <f t="shared" si="0"/>
        <v>SH2</v>
      </c>
      <c r="P22" s="212">
        <f t="shared" si="1"/>
        <v>0</v>
      </c>
      <c r="Q22" s="213">
        <f t="shared" si="2"/>
        <v>0</v>
      </c>
      <c r="R22" s="213">
        <f t="shared" si="3"/>
        <v>0</v>
      </c>
      <c r="S22" s="203"/>
      <c r="U22" s="39">
        <f>+C21*Propiedades!V28</f>
        <v>0</v>
      </c>
      <c r="V22" s="39">
        <f>+D21/Propiedades!V28</f>
        <v>0</v>
      </c>
      <c r="W22" s="39">
        <f>+C21*Propiedades!E28</f>
        <v>0</v>
      </c>
      <c r="X22" s="39">
        <f>+E21/Propiedades!E28</f>
        <v>0</v>
      </c>
      <c r="Y22" s="39">
        <f>+V22*Propiedades!E28</f>
        <v>0</v>
      </c>
      <c r="Z22" s="39">
        <f>+X22*Propiedades!V28</f>
        <v>0</v>
      </c>
      <c r="AB22" s="39">
        <f t="shared" si="4"/>
        <v>0</v>
      </c>
      <c r="AC22" s="39">
        <f t="shared" si="5"/>
        <v>0</v>
      </c>
      <c r="AE22" s="39" t="e">
        <f t="shared" si="6"/>
        <v>#DIV/0!</v>
      </c>
      <c r="AF22" s="39" t="e">
        <f t="shared" si="7"/>
        <v>#DIV/0!</v>
      </c>
      <c r="AH22" s="39" t="e">
        <f t="shared" si="8"/>
        <v>#DIV/0!</v>
      </c>
      <c r="AI22" s="39" t="e">
        <f t="shared" si="9"/>
        <v>#DIV/0!</v>
      </c>
    </row>
    <row r="23" spans="1:35" ht="14.1" customHeight="1" x14ac:dyDescent="0.25">
      <c r="B23" s="20" t="s">
        <v>32</v>
      </c>
      <c r="C23" s="35" t="s">
        <v>33</v>
      </c>
      <c r="D23" s="337"/>
      <c r="E23" s="337"/>
      <c r="F23" s="205"/>
      <c r="G23" s="205"/>
      <c r="H23" s="205"/>
      <c r="I23" s="205"/>
      <c r="J23" s="205"/>
      <c r="K23" s="205"/>
      <c r="L23" s="205"/>
      <c r="M23" s="205"/>
      <c r="N23" s="128"/>
      <c r="O23" s="140" t="str">
        <f>+B22</f>
        <v>Azufre Total</v>
      </c>
      <c r="P23" s="216" t="str">
        <f t="shared" ref="P23:R24" si="10">+C22</f>
        <v>ppmv ¦ mg/m3</v>
      </c>
      <c r="Q23" s="215">
        <f t="shared" si="10"/>
        <v>0</v>
      </c>
      <c r="R23" s="215">
        <f t="shared" si="10"/>
        <v>0</v>
      </c>
      <c r="S23" s="203"/>
    </row>
    <row r="24" spans="1:35" ht="14.1" customHeight="1" x14ac:dyDescent="0.25">
      <c r="C24" s="214"/>
      <c r="D24" s="214"/>
      <c r="E24" s="214"/>
      <c r="F24" s="205"/>
      <c r="G24" s="205"/>
      <c r="H24" s="205"/>
      <c r="I24" s="205"/>
      <c r="J24" s="205"/>
      <c r="K24" s="205"/>
      <c r="L24" s="205"/>
      <c r="M24" s="205"/>
      <c r="N24" s="128"/>
      <c r="O24" s="140" t="str">
        <f>+B23</f>
        <v>SH2</v>
      </c>
      <c r="P24" s="216" t="str">
        <f t="shared" si="10"/>
        <v>ppmv ¦ mg/m3</v>
      </c>
      <c r="Q24" s="215">
        <f t="shared" si="10"/>
        <v>0</v>
      </c>
      <c r="R24" s="215">
        <f t="shared" si="10"/>
        <v>0</v>
      </c>
      <c r="S24" s="203"/>
    </row>
    <row r="25" spans="1:35" ht="14.1" customHeight="1" x14ac:dyDescent="0.25">
      <c r="B25" s="108" t="s">
        <v>34</v>
      </c>
      <c r="C25" s="184"/>
      <c r="D25" s="166" t="s">
        <v>35</v>
      </c>
      <c r="E25" s="186"/>
      <c r="F25" s="40"/>
      <c r="G25"/>
      <c r="H25"/>
      <c r="I25"/>
      <c r="J25"/>
      <c r="K25"/>
      <c r="L25"/>
      <c r="M25" s="111"/>
      <c r="N25" s="129"/>
      <c r="O25" s="207" t="s">
        <v>36</v>
      </c>
      <c r="P25" s="190">
        <f>+SUM(P10:P22)</f>
        <v>100</v>
      </c>
      <c r="Q25" s="190">
        <f>+SUM(Q10:Q22)</f>
        <v>99.999000000000009</v>
      </c>
      <c r="R25" s="190">
        <f>+SUM(R10:R22)</f>
        <v>100</v>
      </c>
      <c r="S25" s="203"/>
      <c r="U25" s="39">
        <f t="shared" ref="U25:Z25" si="11">+SUM(U10:U22)</f>
        <v>99.684736599999994</v>
      </c>
      <c r="V25" s="39">
        <f t="shared" si="11"/>
        <v>0</v>
      </c>
      <c r="W25" s="39">
        <f t="shared" si="11"/>
        <v>1798.3126346000004</v>
      </c>
      <c r="X25" s="39">
        <f t="shared" si="11"/>
        <v>0</v>
      </c>
      <c r="Y25" s="39">
        <f t="shared" si="11"/>
        <v>0</v>
      </c>
      <c r="Z25" s="39">
        <f t="shared" si="11"/>
        <v>0</v>
      </c>
      <c r="AB25" s="39">
        <f>+SUM(AB10:AB22)</f>
        <v>100</v>
      </c>
      <c r="AC25" s="39">
        <f>+SUM(AC10:AC22)</f>
        <v>99.999999999999986</v>
      </c>
      <c r="AE25" s="39" t="e">
        <f>+SUM(AE10:AE22)</f>
        <v>#DIV/0!</v>
      </c>
      <c r="AF25" s="39" t="e">
        <f>+SUM(AF10:AF22)</f>
        <v>#DIV/0!</v>
      </c>
      <c r="AH25" s="39" t="e">
        <f>+SUM(AH10:AH22)</f>
        <v>#DIV/0!</v>
      </c>
      <c r="AI25" s="39" t="e">
        <f>+SUM(AI10:AI22)</f>
        <v>#DIV/0!</v>
      </c>
    </row>
    <row r="26" spans="1:35" ht="14.1" customHeight="1" x14ac:dyDescent="0.25">
      <c r="B26" s="108" t="s">
        <v>37</v>
      </c>
      <c r="C26" s="185"/>
      <c r="D26" s="167" t="s">
        <v>38</v>
      </c>
      <c r="E26" s="187"/>
      <c r="F26" s="113"/>
      <c r="G26" s="40"/>
      <c r="H26" s="40"/>
      <c r="I26" s="40"/>
      <c r="J26" s="40"/>
      <c r="K26" s="40"/>
      <c r="L26" s="40"/>
      <c r="M26" s="40"/>
      <c r="N26" s="130"/>
      <c r="O26" s="121"/>
      <c r="P26" s="121"/>
      <c r="Q26" s="121"/>
      <c r="R26" s="121"/>
      <c r="S26" s="203"/>
      <c r="Z26" s="39"/>
    </row>
    <row r="27" spans="1:35" ht="14.1" customHeight="1" x14ac:dyDescent="0.25">
      <c r="A27"/>
      <c r="B27"/>
      <c r="C27"/>
      <c r="F27"/>
      <c r="G27" s="113"/>
      <c r="H27" s="113"/>
      <c r="I27" s="113"/>
      <c r="J27" s="113"/>
      <c r="K27" s="113"/>
      <c r="L27" s="113"/>
      <c r="M27" s="113"/>
      <c r="N27" s="120"/>
      <c r="O27" s="116" t="s">
        <v>39</v>
      </c>
      <c r="P27" s="117"/>
      <c r="Q27" s="220" t="s">
        <v>40</v>
      </c>
      <c r="R27" s="219"/>
      <c r="S27" s="203"/>
    </row>
    <row r="28" spans="1:35" ht="14.1" customHeight="1" x14ac:dyDescent="0.2">
      <c r="B28" s="37" t="s">
        <v>41</v>
      </c>
      <c r="C28" s="35" t="s">
        <v>42</v>
      </c>
      <c r="D28" s="217"/>
      <c r="E28" s="198"/>
      <c r="F28" s="113"/>
      <c r="G28" s="113"/>
      <c r="H28" s="113"/>
      <c r="I28" s="113"/>
      <c r="J28" s="113"/>
      <c r="K28" s="113"/>
      <c r="L28" s="113"/>
      <c r="M28" s="113"/>
      <c r="N28" s="120"/>
      <c r="O28" s="134" t="s">
        <v>43</v>
      </c>
      <c r="P28" s="191">
        <f>ROUND((P10*Propiedades!$E$26+P11*Propiedades!$E$27+P12*Propiedades!$E$13+P13*Propiedades!$E$14+P14*Propiedades!$E$15+P15*Propiedades!$E$16+P16*Propiedades!$E$17+P17*Propiedades!$E$19+P18*Propiedades!$E$20+P19*Propiedades!$E$21+P20*Propiedades!$E$22+P21*Propiedades!E23+P22*Propiedades!E29)/100,3)</f>
        <v>17.983000000000001</v>
      </c>
      <c r="Q28"/>
      <c r="R28"/>
      <c r="S28" s="203"/>
    </row>
    <row r="29" spans="1:35" ht="14.1" customHeight="1" x14ac:dyDescent="0.2">
      <c r="C29" s="35" t="s">
        <v>44</v>
      </c>
      <c r="D29" s="218"/>
      <c r="E29" s="199"/>
      <c r="N29" s="120"/>
      <c r="O29" s="134" t="s">
        <v>45</v>
      </c>
      <c r="P29" s="191">
        <f>ROUND(Propiedades!$G$5*(273.15+Propiedades!$D$5)/Propiedades!$D$6*P39,3)</f>
        <v>23.585999999999999</v>
      </c>
      <c r="Q29" s="121"/>
      <c r="R29" s="121"/>
      <c r="S29" s="203"/>
    </row>
    <row r="30" spans="1:35" ht="14.1" customHeight="1" x14ac:dyDescent="0.2">
      <c r="C30" s="20" t="s">
        <v>46</v>
      </c>
      <c r="D30" s="200"/>
      <c r="E30" s="201"/>
      <c r="N30" s="120"/>
      <c r="O30" s="135" t="s">
        <v>47</v>
      </c>
      <c r="P30" s="192">
        <f>ROUND((P10*Propiedades!$E$26+P11*Propiedades!$E$27+P12*Propiedades!$E$13+P13*Propiedades!$E$14+P14*Propiedades!$E$15+P15*Propiedades!$E$16+P16*Propiedades!$E$17+P17*Propiedades!$E$19+P18*Propiedades!$E$20+P19*Propiedades!$E$21+P20*Propiedades!$E$22+P21*Propiedades!$E$23+P22*Propiedades!$E$29)*Propiedades!$D$6/(Propiedades!$D$5+273.15)/Propiedades!$G$5/P39/100,4)</f>
        <v>0.76249999999999996</v>
      </c>
      <c r="Q30" s="121"/>
      <c r="R30" s="121"/>
      <c r="S30" s="203"/>
      <c r="U30"/>
      <c r="V30"/>
    </row>
    <row r="31" spans="1:35" ht="14.1" customHeight="1" x14ac:dyDescent="0.2">
      <c r="N31" s="120"/>
      <c r="O31" s="135" t="s">
        <v>48</v>
      </c>
      <c r="P31" s="192">
        <f>ROUND((P10*Propiedades!$E$26+P11*Propiedades!$E$27+P12*Propiedades!$E$13+P13*Propiedades!$E$14+P14*Propiedades!$E$15+P15*Propiedades!$E$16+P16*Propiedades!$E$17+P17*Propiedades!$E$19+P18*Propiedades!$E$20+P19*Propiedades!$E$21+P20*Propiedades!$E$22+P21*Propiedades!$E$23+P22*Propiedades!$E$29)/Propiedades!$E$31*Propiedades!$V$31/P39/100,4)</f>
        <v>0.62219999999999998</v>
      </c>
      <c r="Q31" s="121"/>
      <c r="R31" s="121"/>
      <c r="S31" s="203"/>
      <c r="U31"/>
      <c r="V31"/>
    </row>
    <row r="32" spans="1:35" ht="14.1" customHeight="1" x14ac:dyDescent="0.25">
      <c r="B32" s="161" t="s">
        <v>3</v>
      </c>
      <c r="C32" s="292"/>
      <c r="N32" s="120"/>
      <c r="O32" s="134" t="s">
        <v>49</v>
      </c>
      <c r="P32" s="193">
        <f>ROUND((P10*Propiedades!$N$26+P11*Propiedades!$N$27+P12*Propiedades!$N$13+P13*Propiedades!$N$14+P14*Propiedades!$N$15+P15*Propiedades!$N$16+P16*Propiedades!$N$17+P17*Propiedades!$N$19+P18*Propiedades!$N$20+P19*Propiedades!$N$21+P20*Propiedades!$N$22+P21*Propiedades!$N$23+P22*Propiedades!$N$29)*Propiedades!$D$6/(Propiedades!$D$5+273.15)/Propiedades!$G$5/P39/Propiedades!$G$6*10,1)</f>
        <v>9628</v>
      </c>
      <c r="Q32" s="197">
        <f>ROUND(P32*Propiedades!$G$6/1000,3)</f>
        <v>40.298000000000002</v>
      </c>
      <c r="R32" s="159" t="s">
        <v>50</v>
      </c>
      <c r="S32" s="203"/>
    </row>
    <row r="33" spans="4:22" ht="14.1" customHeight="1" x14ac:dyDescent="0.25">
      <c r="N33" s="120"/>
      <c r="O33" s="134" t="s">
        <v>51</v>
      </c>
      <c r="P33" s="193">
        <f>ROUND((P10*Propiedades!$N$26+P11*Propiedades!$N$27+P12*Propiedades!$N$13+P13*Propiedades!$N$14+P14*Propiedades!$N$15+P15*Propiedades!$N$16+P16*Propiedades!$N$17+P17*Propiedades!$N$19+P18*Propiedades!$N$20+P19*Propiedades!$N$21+P20*Propiedades!$N$22+P20*Propiedades!$N$23+P22*Propiedades!$N$29)/P28/Propiedades!$G$6*10,0)</f>
        <v>12634</v>
      </c>
      <c r="Q33" s="197">
        <f>ROUND(P33*Propiedades!$G$6/1000,3)</f>
        <v>52.88</v>
      </c>
      <c r="R33" s="108" t="s">
        <v>52</v>
      </c>
      <c r="S33" s="203"/>
    </row>
    <row r="34" spans="4:22" ht="14.1" customHeight="1" x14ac:dyDescent="0.25">
      <c r="D34"/>
      <c r="N34" s="120"/>
      <c r="O34" s="134" t="s">
        <v>53</v>
      </c>
      <c r="P34" s="193">
        <f>ROUND((P10*Propiedades!$T$26+P11*Propiedades!$T$27+P12*Propiedades!$T$13+P13*Propiedades!$T$14+P14*Propiedades!$T$15+P15*Propiedades!$T$16+P16*Propiedades!$T$17+P17*Propiedades!$T$19+P18*Propiedades!$T$20+P19*Propiedades!$T$21+P20*Propiedades!$T$22+P21*Propiedades!$T$23+P22*Propiedades!$T$29)*Propiedades!$D$6/(Propiedades!$D$5+273.15)/Propiedades!$G$5/P39/Propiedades!$G$6*10,1)</f>
        <v>8694.2000000000007</v>
      </c>
      <c r="Q34" s="197">
        <f>ROUND(P34*Propiedades!$G$6/1000,3)</f>
        <v>36.39</v>
      </c>
      <c r="R34" s="159" t="s">
        <v>50</v>
      </c>
      <c r="S34" s="203"/>
      <c r="U34" s="108" t="s">
        <v>54</v>
      </c>
      <c r="V34" s="21">
        <f>ROUND((P10*Propiedades!$N$26+P11*Propiedades!$N$27+P12*Propiedades!$N$13+P13*Propiedades!$N$14+P14*Propiedades!$N$15+P15*Propiedades!$N$16+P16*Propiedades!$N$17+P17*Propiedades!$N$19+P18*Propiedades!$N$20+P19*Propiedades!$N$21+P20*Propiedades!$N$22+P21*Propiedades!$N$23+P22*Propiedades!$N$29)/100,2)</f>
        <v>950.46</v>
      </c>
    </row>
    <row r="35" spans="4:22" ht="14.1" customHeight="1" x14ac:dyDescent="0.25">
      <c r="N35" s="120"/>
      <c r="O35" s="135" t="s">
        <v>55</v>
      </c>
      <c r="P35" s="193">
        <f>ROUND(P32/(P31)^0.5,0)</f>
        <v>12206</v>
      </c>
      <c r="Q35" s="197">
        <f>ROUND(Q32/P31^0.5,3)</f>
        <v>51.088000000000001</v>
      </c>
      <c r="R35" s="108"/>
      <c r="S35" s="203"/>
    </row>
    <row r="36" spans="4:22" ht="14.1" customHeight="1" x14ac:dyDescent="0.2">
      <c r="N36" s="120"/>
      <c r="O36" s="134" t="s">
        <v>56</v>
      </c>
      <c r="P36" s="192">
        <f>ROUND((R10*Propiedades!$L$50+R11*Propiedades!$L$51+R12*Propiedades!$L$37+R13*Propiedades!$L$38+R14*Propiedades!$L$39+R15*Propiedades!$L$40+R16*Propiedades!$L$41+R17*Propiedades!$L$43+R18*Propiedades!$L$44+R19*Propiedades!$L$45+R20*Propiedades!$L$46+R21*Propiedades!$L$47+R22*Propiedades!$L$53)*P30/Propiedades!$G$6/100,4)</f>
        <v>0.37880000000000003</v>
      </c>
      <c r="Q36" s="121"/>
      <c r="R36" s="121"/>
      <c r="S36" s="203"/>
      <c r="U36"/>
      <c r="V36"/>
    </row>
    <row r="37" spans="4:22" ht="14.1" customHeight="1" x14ac:dyDescent="0.2">
      <c r="N37" s="120"/>
      <c r="O37" s="134" t="s">
        <v>57</v>
      </c>
      <c r="P37" s="192">
        <f>ROUND((R10*Propiedades!$N$50+R11*Propiedades!$N$51+R12*Propiedades!$N$37+R13*Propiedades!$N$38+R14*Propiedades!$N$39+R15*Propiedades!$N$40+R16*Propiedades!$N$41+R17*Propiedades!$N$43+R18*Propiedades!$N$44+R19*Propiedades!$N$45+R20*Propiedades!$N$46+R21*Propiedades!$N$47+R22*Propiedades!$N$53)*P30/Propiedades!$G$6/100,4)</f>
        <v>0.29449999999999998</v>
      </c>
      <c r="Q37" s="121"/>
      <c r="R37" s="121"/>
      <c r="S37" s="203"/>
      <c r="U37"/>
      <c r="V37"/>
    </row>
    <row r="38" spans="4:22" ht="14.1" customHeight="1" x14ac:dyDescent="0.2">
      <c r="N38" s="120"/>
      <c r="O38" s="135" t="s">
        <v>58</v>
      </c>
      <c r="P38" s="192">
        <f>IF(P37=0,0,ROUND(P36/P37,4))</f>
        <v>1.2862</v>
      </c>
      <c r="Q38" s="121"/>
      <c r="R38" s="121"/>
      <c r="S38" s="203"/>
      <c r="U38"/>
      <c r="V38"/>
    </row>
    <row r="39" spans="4:22" ht="14.1" customHeight="1" x14ac:dyDescent="0.2">
      <c r="N39" s="120"/>
      <c r="O39" s="136" t="s">
        <v>59</v>
      </c>
      <c r="P39" s="194">
        <f>ROUND(1-((P10*Propiedades!W26+P11*Propiedades!W27+P12*Propiedades!W13+P13*Propiedades!W14+P14*Propiedades!W15+P15*Propiedades!W16+P16*Propiedades!W17+P17*Propiedades!W19+P18*Propiedades!W20+P19*Propiedades!W21+P20*Propiedades!W22+P21*Propiedades!W23+P22*Propiedades!W29)/100)^2,4)</f>
        <v>0.99750000000000005</v>
      </c>
      <c r="Q39" s="121"/>
      <c r="S39" s="203"/>
    </row>
    <row r="40" spans="4:22" ht="5.0999999999999996" customHeight="1" x14ac:dyDescent="0.2">
      <c r="N40" s="120"/>
      <c r="O40" s="208"/>
      <c r="P40" s="208"/>
      <c r="Q40" s="121"/>
      <c r="R40" s="121"/>
      <c r="S40" s="203"/>
    </row>
    <row r="41" spans="4:22" ht="14.1" customHeight="1" x14ac:dyDescent="0.2">
      <c r="N41" s="120"/>
      <c r="O41" s="137" t="str">
        <f>+B25</f>
        <v>Presión  (Bar)</v>
      </c>
      <c r="P41" s="195" t="str">
        <f>+IF(C25="","",C25)</f>
        <v/>
      </c>
      <c r="Q41" s="168" t="str">
        <f>+D25</f>
        <v>N°Strokes</v>
      </c>
      <c r="R41" s="170" t="str">
        <f>+IF(E25="","",E25)</f>
        <v/>
      </c>
      <c r="S41" s="209"/>
    </row>
    <row r="42" spans="4:22" ht="14.1" customHeight="1" x14ac:dyDescent="0.2">
      <c r="N42" s="120"/>
      <c r="O42" s="138" t="str">
        <f>+B26</f>
        <v>Temperatura  (°C)</v>
      </c>
      <c r="P42" s="196" t="str">
        <f>+IF(C26="","",C26)</f>
        <v/>
      </c>
      <c r="Q42" s="169" t="str">
        <f>+D26</f>
        <v>ID Muestra</v>
      </c>
      <c r="R42" s="171" t="str">
        <f>+IF(E26="","",E26)</f>
        <v/>
      </c>
      <c r="S42" s="210"/>
    </row>
    <row r="43" spans="4:22" ht="6.95" customHeight="1" x14ac:dyDescent="0.2">
      <c r="N43" s="120"/>
      <c r="O43" s="172"/>
      <c r="P43" s="173"/>
      <c r="Q43" s="174"/>
      <c r="R43" s="175"/>
      <c r="S43" s="210"/>
    </row>
    <row r="44" spans="4:22" ht="14.1" customHeight="1" x14ac:dyDescent="0.2">
      <c r="N44" s="120"/>
      <c r="O44" s="176" t="s">
        <v>41</v>
      </c>
      <c r="P44" s="221" t="str">
        <f>+C28</f>
        <v>Marca/Modelo</v>
      </c>
      <c r="Q44" s="180" t="str">
        <f>+IF(D28="","",D28)</f>
        <v/>
      </c>
      <c r="R44" s="177"/>
      <c r="S44" s="210"/>
    </row>
    <row r="45" spans="4:22" ht="14.1" customHeight="1" x14ac:dyDescent="0.2">
      <c r="N45" s="120"/>
      <c r="O45" s="162"/>
      <c r="P45" s="20" t="str">
        <f>+C29</f>
        <v>Precisión/Norma</v>
      </c>
      <c r="Q45" s="181" t="str">
        <f>+IF(D29="","",D29)</f>
        <v/>
      </c>
      <c r="R45" s="178"/>
      <c r="S45" s="210"/>
    </row>
    <row r="46" spans="4:22" ht="14.1" customHeight="1" x14ac:dyDescent="0.2">
      <c r="N46" s="120"/>
      <c r="O46" s="163"/>
      <c r="P46" s="222" t="str">
        <f>+C30</f>
        <v>Gas Patrón</v>
      </c>
      <c r="Q46" s="182" t="str">
        <f>+IF(D30="","",D30)</f>
        <v/>
      </c>
      <c r="R46" s="179"/>
      <c r="S46" s="210"/>
    </row>
    <row r="47" spans="4:22" ht="13.5" thickBot="1" x14ac:dyDescent="0.25">
      <c r="N47" s="131"/>
      <c r="O47" s="132"/>
      <c r="P47" s="132"/>
      <c r="Q47" s="132"/>
      <c r="R47" s="132"/>
      <c r="S47" s="211"/>
    </row>
    <row r="48" spans="4:22" ht="13.5" thickTop="1" x14ac:dyDescent="0.2">
      <c r="S48"/>
    </row>
    <row r="49" spans="19:19" x14ac:dyDescent="0.2">
      <c r="S49"/>
    </row>
    <row r="50" spans="19:19" x14ac:dyDescent="0.2">
      <c r="S50"/>
    </row>
    <row r="51" spans="19:19" x14ac:dyDescent="0.2">
      <c r="S51"/>
    </row>
    <row r="52" spans="19:19" x14ac:dyDescent="0.2">
      <c r="S52"/>
    </row>
    <row r="53" spans="19:19" x14ac:dyDescent="0.2">
      <c r="S53"/>
    </row>
    <row r="54" spans="19:19" x14ac:dyDescent="0.2">
      <c r="S54"/>
    </row>
    <row r="55" spans="19:19" x14ac:dyDescent="0.2">
      <c r="S55"/>
    </row>
    <row r="56" spans="19:19" x14ac:dyDescent="0.2">
      <c r="S56"/>
    </row>
    <row r="57" spans="19:19" x14ac:dyDescent="0.2">
      <c r="S57"/>
    </row>
    <row r="58" spans="19:19" x14ac:dyDescent="0.2">
      <c r="S58"/>
    </row>
    <row r="59" spans="19:19" x14ac:dyDescent="0.2">
      <c r="S59"/>
    </row>
    <row r="60" spans="19:19" x14ac:dyDescent="0.2">
      <c r="S60"/>
    </row>
    <row r="61" spans="19:19" x14ac:dyDescent="0.2">
      <c r="S61"/>
    </row>
    <row r="62" spans="19:19" x14ac:dyDescent="0.2">
      <c r="S62"/>
    </row>
    <row r="63" spans="19:19" x14ac:dyDescent="0.2">
      <c r="S63"/>
    </row>
    <row r="64" spans="19:19" x14ac:dyDescent="0.2">
      <c r="S64"/>
    </row>
    <row r="65" spans="19:19" x14ac:dyDescent="0.2">
      <c r="S65"/>
    </row>
    <row r="66" spans="19:19" x14ac:dyDescent="0.2">
      <c r="S66"/>
    </row>
    <row r="67" spans="19:19" x14ac:dyDescent="0.2">
      <c r="S67"/>
    </row>
    <row r="68" spans="19:19" x14ac:dyDescent="0.2">
      <c r="S68"/>
    </row>
    <row r="69" spans="19:19" x14ac:dyDescent="0.2">
      <c r="S69"/>
    </row>
    <row r="70" spans="19:19" x14ac:dyDescent="0.2">
      <c r="S70"/>
    </row>
    <row r="71" spans="19:19" x14ac:dyDescent="0.2">
      <c r="S71"/>
    </row>
    <row r="72" spans="19:19" x14ac:dyDescent="0.2">
      <c r="S72"/>
    </row>
    <row r="73" spans="19:19" x14ac:dyDescent="0.2">
      <c r="S73"/>
    </row>
    <row r="74" spans="19:19" x14ac:dyDescent="0.2">
      <c r="S74"/>
    </row>
    <row r="75" spans="19:19" x14ac:dyDescent="0.2">
      <c r="S75"/>
    </row>
    <row r="76" spans="19:19" x14ac:dyDescent="0.2">
      <c r="S76"/>
    </row>
    <row r="77" spans="19:19" x14ac:dyDescent="0.2">
      <c r="S77"/>
    </row>
    <row r="78" spans="19:19" x14ac:dyDescent="0.2">
      <c r="S78"/>
    </row>
    <row r="79" spans="19:19" x14ac:dyDescent="0.2">
      <c r="S79"/>
    </row>
  </sheetData>
  <sheetProtection algorithmName="SHA-512" hashValue="XWfkw3OZ8MzUGOlHQW3OB7C0ziFOfWy+mwfuhd/6032+E6HaxJTV+gk2BgPWVEWl4uzoyq186KetgIOVEgSDPw==" saltValue="9jN5XcwF5eGS8nYCaXOSVQ==" spinCount="100000" sheet="1" formatCells="0" formatColumns="0" formatRows="0"/>
  <printOptions horizontalCentered="1" verticalCentered="1" gridLinesSet="0"/>
  <pageMargins left="0.98425196850393704" right="0.39370078740157483" top="0.78740157480314965" bottom="0.78740157480314965" header="0.59055118110236227" footer="0.39370078740157483"/>
  <pageSetup paperSize="9" orientation="portrait" horizontalDpi="4294967292" r:id="rId1"/>
  <headerFooter alignWithMargins="0">
    <oddHeader>&amp;L&amp;"Times New Roman,Bold Italic"&amp;20IAPG</oddHeader>
    <oddFooter>&amp;LIAPG/Comisión Calidad de Gas - HC_Prop Rev.2&amp;R&amp;D -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86"/>
  <sheetViews>
    <sheetView workbookViewId="0">
      <selection activeCell="C5" sqref="C5"/>
    </sheetView>
  </sheetViews>
  <sheetFormatPr baseColWidth="10" defaultColWidth="9.7109375" defaultRowHeight="12.75" x14ac:dyDescent="0.2"/>
  <cols>
    <col min="1" max="1" width="4.140625" customWidth="1"/>
    <col min="2" max="2" width="8.140625" customWidth="1"/>
    <col min="3" max="3" width="12.7109375" customWidth="1"/>
    <col min="4" max="4" width="13.7109375" customWidth="1"/>
    <col min="5" max="6" width="12.7109375" customWidth="1"/>
    <col min="7" max="7" width="15.28515625" customWidth="1"/>
    <col min="8" max="8" width="8.140625" customWidth="1"/>
    <col min="9" max="9" width="9.7109375" customWidth="1"/>
    <col min="10" max="10" width="10.5703125" customWidth="1"/>
    <col min="12" max="12" width="12.7109375" customWidth="1"/>
    <col min="13" max="13" width="11.28515625" customWidth="1"/>
    <col min="14" max="14" width="11.7109375" bestFit="1" customWidth="1"/>
    <col min="15" max="15" width="11.7109375" customWidth="1"/>
  </cols>
  <sheetData>
    <row r="1" spans="2:8" ht="26.25" x14ac:dyDescent="0.4">
      <c r="B1" s="229" t="s">
        <v>150</v>
      </c>
      <c r="C1" s="33"/>
      <c r="D1" s="33"/>
      <c r="E1" s="33"/>
      <c r="F1" s="33"/>
      <c r="G1" s="33"/>
      <c r="H1" s="229"/>
    </row>
    <row r="2" spans="2:8" ht="15.75" x14ac:dyDescent="0.25">
      <c r="B2" s="294"/>
      <c r="C2" s="294"/>
      <c r="D2" s="294"/>
      <c r="E2" s="294"/>
      <c r="F2" s="294"/>
      <c r="G2" s="294"/>
      <c r="H2" s="294"/>
    </row>
    <row r="3" spans="2:8" x14ac:dyDescent="0.2">
      <c r="F3" s="295" t="s">
        <v>151</v>
      </c>
      <c r="G3" s="295" t="s">
        <v>152</v>
      </c>
    </row>
    <row r="4" spans="2:8" x14ac:dyDescent="0.2">
      <c r="C4" s="230" t="s">
        <v>153</v>
      </c>
      <c r="D4" s="231" t="s">
        <v>154</v>
      </c>
      <c r="E4" s="296"/>
      <c r="F4" s="232" t="s">
        <v>148</v>
      </c>
      <c r="G4" s="233" t="s">
        <v>155</v>
      </c>
    </row>
    <row r="5" spans="2:8" x14ac:dyDescent="0.2">
      <c r="C5" s="297"/>
      <c r="D5" s="297"/>
      <c r="E5" s="298"/>
      <c r="F5" s="234" t="s">
        <v>156</v>
      </c>
      <c r="G5" s="235" t="s">
        <v>157</v>
      </c>
    </row>
    <row r="6" spans="2:8" x14ac:dyDescent="0.2">
      <c r="C6" s="299" t="s">
        <v>36</v>
      </c>
      <c r="D6" s="300" t="str">
        <f>+Croma!C4</f>
        <v>BK 2023</v>
      </c>
      <c r="E6" s="301"/>
      <c r="F6" s="302">
        <f>+Croma!D6</f>
        <v>1000000</v>
      </c>
      <c r="G6" s="236">
        <f>+Croma!P32</f>
        <v>9628</v>
      </c>
    </row>
    <row r="9" spans="2:8" ht="15.75" x14ac:dyDescent="0.25">
      <c r="B9" s="237" t="s">
        <v>158</v>
      </c>
      <c r="H9" s="237"/>
    </row>
    <row r="10" spans="2:8" x14ac:dyDescent="0.2">
      <c r="C10" s="295" t="s">
        <v>159</v>
      </c>
      <c r="D10" s="295" t="s">
        <v>160</v>
      </c>
      <c r="E10" s="303" t="s">
        <v>161</v>
      </c>
      <c r="F10" s="304" t="s">
        <v>162</v>
      </c>
      <c r="G10" s="295" t="s">
        <v>163</v>
      </c>
    </row>
    <row r="11" spans="2:8" x14ac:dyDescent="0.2">
      <c r="C11" s="232" t="s">
        <v>164</v>
      </c>
      <c r="D11" s="238" t="s">
        <v>165</v>
      </c>
      <c r="E11" s="239" t="s">
        <v>166</v>
      </c>
      <c r="F11" s="238" t="s">
        <v>166</v>
      </c>
      <c r="G11" s="232" t="s">
        <v>155</v>
      </c>
    </row>
    <row r="12" spans="2:8" x14ac:dyDescent="0.2">
      <c r="B12" s="305"/>
      <c r="C12" s="240" t="s">
        <v>167</v>
      </c>
      <c r="D12" s="241" t="s">
        <v>168</v>
      </c>
      <c r="E12" s="242" t="s">
        <v>169</v>
      </c>
      <c r="F12" s="241" t="s">
        <v>167</v>
      </c>
      <c r="G12" s="234" t="s">
        <v>170</v>
      </c>
    </row>
    <row r="13" spans="2:8" x14ac:dyDescent="0.2">
      <c r="B13" s="243" t="s">
        <v>11</v>
      </c>
      <c r="C13" s="306">
        <f>+Croma!C9</f>
        <v>1.8160000000000001</v>
      </c>
      <c r="D13" s="327"/>
      <c r="E13" s="244">
        <f t="shared" ref="E13:E25" si="0">C13*(1-D13/100)</f>
        <v>1.8160000000000001</v>
      </c>
      <c r="F13" s="245">
        <f t="shared" ref="F13:F25" si="1">IF($E$26=0,0,E13/$E$26*100)</f>
        <v>1.8230195367261646</v>
      </c>
      <c r="G13" s="246">
        <f>+Propiedades!K26</f>
        <v>0</v>
      </c>
    </row>
    <row r="14" spans="2:8" x14ac:dyDescent="0.2">
      <c r="B14" s="243" t="s">
        <v>21</v>
      </c>
      <c r="C14" s="306">
        <f>+Croma!C10</f>
        <v>0.29899999999999999</v>
      </c>
      <c r="D14" s="331">
        <v>0</v>
      </c>
      <c r="E14" s="244">
        <f t="shared" si="0"/>
        <v>0.29899999999999999</v>
      </c>
      <c r="F14" s="245">
        <f t="shared" si="1"/>
        <v>0.30015574971427483</v>
      </c>
      <c r="G14" s="246">
        <f>+Propiedades!K27</f>
        <v>0</v>
      </c>
    </row>
    <row r="15" spans="2:8" x14ac:dyDescent="0.2">
      <c r="B15" s="243" t="s">
        <v>171</v>
      </c>
      <c r="C15" s="306">
        <f>+Croma!C11</f>
        <v>91.218999999999994</v>
      </c>
      <c r="D15" s="327"/>
      <c r="E15" s="244">
        <f t="shared" si="0"/>
        <v>91.218999999999994</v>
      </c>
      <c r="F15" s="245">
        <f t="shared" si="1"/>
        <v>91.571596432061668</v>
      </c>
      <c r="G15" s="246">
        <f>+Propiedades!K13</f>
        <v>9008.7000000000007</v>
      </c>
    </row>
    <row r="16" spans="2:8" x14ac:dyDescent="0.2">
      <c r="B16" s="243" t="s">
        <v>172</v>
      </c>
      <c r="C16" s="306">
        <f>+Croma!C12</f>
        <v>3.9119999999999999</v>
      </c>
      <c r="D16" s="247"/>
      <c r="E16" s="244">
        <f t="shared" si="0"/>
        <v>3.9119999999999999</v>
      </c>
      <c r="F16" s="245">
        <f t="shared" si="1"/>
        <v>3.9271213808770682</v>
      </c>
      <c r="G16" s="246">
        <f>+Propiedades!K14</f>
        <v>15785.4</v>
      </c>
    </row>
    <row r="17" spans="2:10" x14ac:dyDescent="0.2">
      <c r="B17" s="243" t="s">
        <v>173</v>
      </c>
      <c r="C17" s="306">
        <f>+Croma!C13</f>
        <v>1.458</v>
      </c>
      <c r="D17" s="247">
        <v>0</v>
      </c>
      <c r="E17" s="244">
        <f t="shared" si="0"/>
        <v>1.458</v>
      </c>
      <c r="F17" s="245">
        <f t="shared" si="1"/>
        <v>1.4636357293759623</v>
      </c>
      <c r="G17" s="246">
        <f>+Propiedades!K15</f>
        <v>22444.2</v>
      </c>
    </row>
    <row r="18" spans="2:10" x14ac:dyDescent="0.2">
      <c r="B18" s="243" t="s">
        <v>174</v>
      </c>
      <c r="C18" s="306">
        <f>+Croma!C14</f>
        <v>0.191</v>
      </c>
      <c r="D18" s="247">
        <v>5</v>
      </c>
      <c r="E18" s="244">
        <f t="shared" si="0"/>
        <v>0.18145</v>
      </c>
      <c r="F18" s="245">
        <f t="shared" si="1"/>
        <v>0.18215137386506747</v>
      </c>
      <c r="G18" s="246">
        <f>+Propiedades!K16</f>
        <v>29004.9</v>
      </c>
    </row>
    <row r="19" spans="2:10" x14ac:dyDescent="0.2">
      <c r="B19" s="243" t="s">
        <v>175</v>
      </c>
      <c r="C19" s="306">
        <f>+Croma!C15</f>
        <v>0.49299999999999999</v>
      </c>
      <c r="D19" s="247">
        <v>10</v>
      </c>
      <c r="E19" s="244">
        <f t="shared" si="0"/>
        <v>0.44369999999999998</v>
      </c>
      <c r="F19" s="245">
        <f t="shared" si="1"/>
        <v>0.44541507072984537</v>
      </c>
      <c r="G19" s="246">
        <f>+Propiedades!K17</f>
        <v>29098.1</v>
      </c>
    </row>
    <row r="20" spans="2:10" x14ac:dyDescent="0.2">
      <c r="B20" s="243" t="s">
        <v>176</v>
      </c>
      <c r="C20" s="306">
        <f>+Croma!C16</f>
        <v>0.14699999999999999</v>
      </c>
      <c r="D20" s="247">
        <v>25</v>
      </c>
      <c r="E20" s="244">
        <f t="shared" si="0"/>
        <v>0.11024999999999999</v>
      </c>
      <c r="F20" s="245">
        <f t="shared" si="1"/>
        <v>0.11067615854849099</v>
      </c>
      <c r="G20" s="246">
        <f>+Propiedades!K19</f>
        <v>35685.1</v>
      </c>
    </row>
    <row r="21" spans="2:10" x14ac:dyDescent="0.2">
      <c r="B21" s="243" t="s">
        <v>177</v>
      </c>
      <c r="C21" s="306">
        <f>+Croma!C17</f>
        <v>0.189</v>
      </c>
      <c r="D21" s="247">
        <v>45</v>
      </c>
      <c r="E21" s="244">
        <f t="shared" si="0"/>
        <v>0.10395000000000001</v>
      </c>
      <c r="F21" s="245">
        <f t="shared" si="1"/>
        <v>0.10435180663143438</v>
      </c>
      <c r="G21" s="246">
        <f>+Propiedades!K20</f>
        <v>35756.800000000003</v>
      </c>
    </row>
    <row r="22" spans="2:10" x14ac:dyDescent="0.2">
      <c r="B22" s="243" t="s">
        <v>178</v>
      </c>
      <c r="C22" s="306">
        <f>+Croma!C18</f>
        <v>0.218</v>
      </c>
      <c r="D22" s="247">
        <v>70</v>
      </c>
      <c r="E22" s="244">
        <f t="shared" si="0"/>
        <v>6.5400000000000014E-2</v>
      </c>
      <c r="F22" s="245">
        <f t="shared" si="1"/>
        <v>6.5652796091349774E-2</v>
      </c>
      <c r="G22" s="246">
        <f>+Propiedades!K21</f>
        <v>42420.3</v>
      </c>
    </row>
    <row r="23" spans="2:10" x14ac:dyDescent="0.2">
      <c r="B23" s="243" t="s">
        <v>242</v>
      </c>
      <c r="C23" s="306">
        <f>+Croma!C19</f>
        <v>3.3000000000000002E-2</v>
      </c>
      <c r="D23" s="247">
        <v>85</v>
      </c>
      <c r="E23" s="244">
        <f t="shared" si="0"/>
        <v>4.9500000000000013E-3</v>
      </c>
      <c r="F23" s="245">
        <f t="shared" si="1"/>
        <v>4.969133649115923E-3</v>
      </c>
      <c r="G23" s="246">
        <f>+Propiedades!K22</f>
        <v>49079</v>
      </c>
    </row>
    <row r="24" spans="2:10" x14ac:dyDescent="0.2">
      <c r="B24" s="243" t="s">
        <v>243</v>
      </c>
      <c r="C24" s="306">
        <f>+Croma!C20</f>
        <v>2.5000000000000001E-2</v>
      </c>
      <c r="D24" s="247">
        <v>95</v>
      </c>
      <c r="E24" s="244">
        <f t="shared" si="0"/>
        <v>1.2500000000000011E-3</v>
      </c>
      <c r="F24" s="245">
        <f t="shared" si="1"/>
        <v>1.2548317295747288E-3</v>
      </c>
      <c r="G24" s="246">
        <f>+Propiedades!K23</f>
        <v>55735.3</v>
      </c>
    </row>
    <row r="25" spans="2:10" x14ac:dyDescent="0.2">
      <c r="B25" s="338" t="s">
        <v>32</v>
      </c>
      <c r="C25" s="306">
        <f>+Croma!C21</f>
        <v>0</v>
      </c>
      <c r="D25" s="247">
        <v>0</v>
      </c>
      <c r="E25" s="244">
        <f t="shared" si="0"/>
        <v>0</v>
      </c>
      <c r="F25" s="245">
        <f t="shared" si="1"/>
        <v>0</v>
      </c>
      <c r="G25" s="246">
        <f>+Propiedades!K28</f>
        <v>5681.5</v>
      </c>
    </row>
    <row r="26" spans="2:10" x14ac:dyDescent="0.2">
      <c r="B26" s="248" t="s">
        <v>36</v>
      </c>
      <c r="C26" s="249">
        <f>SUM(C13:C24)</f>
        <v>100</v>
      </c>
      <c r="D26" s="307"/>
      <c r="E26" s="250">
        <f>SUM(E13:E24)</f>
        <v>99.614949999999979</v>
      </c>
      <c r="F26" s="251">
        <f>SUM(F13:F24)</f>
        <v>100.00000000000001</v>
      </c>
      <c r="G26" s="252">
        <f>(F13*G13+F14*G14+F15*G15+F16*G16+F17*G17+F18*G18+F19*G19+F20*G20+F21*G21+F22*G22+F23*G23+F24*G24)/(1-((F13*Propiedades!W26+F14*Propiedades!W27+F15*Propiedades!W13+F16*Propiedades!W14+F17*Propiedades!W15+F18*Propiedades!W16+F19*Propiedades!W17+F20*Propiedades!W19+F21*Propiedades!W20+F22*Propiedades!W21+'RecC5+'!F23*Propiedades!W22+'RecC5+'!F24*Propiedades!W23)/100)^2)/100</f>
        <v>9510.8417442147856</v>
      </c>
    </row>
    <row r="29" spans="2:10" ht="15.75" x14ac:dyDescent="0.25">
      <c r="B29" s="237" t="s">
        <v>179</v>
      </c>
    </row>
    <row r="30" spans="2:10" x14ac:dyDescent="0.2">
      <c r="C30" s="303" t="s">
        <v>180</v>
      </c>
      <c r="D30" s="295" t="s">
        <v>181</v>
      </c>
      <c r="E30" s="303" t="s">
        <v>182</v>
      </c>
      <c r="F30" s="303" t="s">
        <v>183</v>
      </c>
      <c r="G30" s="303" t="s">
        <v>184</v>
      </c>
    </row>
    <row r="31" spans="2:10" x14ac:dyDescent="0.2">
      <c r="C31" s="232" t="s">
        <v>185</v>
      </c>
      <c r="D31" s="238" t="s">
        <v>186</v>
      </c>
      <c r="E31" s="239" t="s">
        <v>187</v>
      </c>
      <c r="F31" s="239" t="s">
        <v>188</v>
      </c>
      <c r="G31" s="253" t="s">
        <v>189</v>
      </c>
    </row>
    <row r="32" spans="2:10" x14ac:dyDescent="0.2">
      <c r="B32" s="305"/>
      <c r="C32" s="234" t="s">
        <v>169</v>
      </c>
      <c r="D32" s="241" t="s">
        <v>190</v>
      </c>
      <c r="E32" s="242" t="s">
        <v>191</v>
      </c>
      <c r="F32" s="242" t="s">
        <v>191</v>
      </c>
      <c r="G32" s="254" t="s">
        <v>192</v>
      </c>
      <c r="J32" s="255" t="s">
        <v>261</v>
      </c>
    </row>
    <row r="33" spans="2:10" x14ac:dyDescent="0.2">
      <c r="B33" s="243" t="s">
        <v>11</v>
      </c>
      <c r="C33" s="244">
        <f t="shared" ref="C33:C44" si="2">C13*D13/100</f>
        <v>0</v>
      </c>
      <c r="D33" s="256"/>
      <c r="E33" s="308"/>
      <c r="F33" s="308"/>
      <c r="G33" s="309"/>
    </row>
    <row r="34" spans="2:10" x14ac:dyDescent="0.2">
      <c r="B34" s="243" t="s">
        <v>21</v>
      </c>
      <c r="C34" s="244">
        <f t="shared" si="2"/>
        <v>0</v>
      </c>
      <c r="D34" s="256"/>
      <c r="E34" s="308"/>
      <c r="F34" s="308"/>
      <c r="G34" s="309"/>
      <c r="J34" s="121" t="s">
        <v>194</v>
      </c>
    </row>
    <row r="35" spans="2:10" x14ac:dyDescent="0.2">
      <c r="B35" s="243" t="s">
        <v>171</v>
      </c>
      <c r="C35" s="244">
        <f t="shared" si="2"/>
        <v>0</v>
      </c>
      <c r="D35" s="256"/>
      <c r="E35" s="308"/>
      <c r="F35" s="308"/>
      <c r="G35" s="309"/>
      <c r="J35" s="310">
        <f>+C45/100</f>
        <v>3.8505000000000002E-3</v>
      </c>
    </row>
    <row r="36" spans="2:10" x14ac:dyDescent="0.2">
      <c r="B36" s="243" t="s">
        <v>172</v>
      </c>
      <c r="C36" s="244">
        <f t="shared" si="2"/>
        <v>0</v>
      </c>
      <c r="E36" s="308"/>
      <c r="F36" s="308"/>
      <c r="G36" s="309"/>
    </row>
    <row r="37" spans="2:10" x14ac:dyDescent="0.2">
      <c r="B37" s="243" t="s">
        <v>173</v>
      </c>
      <c r="C37" s="244">
        <f t="shared" si="2"/>
        <v>0</v>
      </c>
      <c r="D37" s="256"/>
      <c r="E37" s="244"/>
      <c r="F37" s="308"/>
      <c r="G37" s="309"/>
      <c r="J37" s="121" t="s">
        <v>195</v>
      </c>
    </row>
    <row r="38" spans="2:10" x14ac:dyDescent="0.2">
      <c r="B38" s="243" t="s">
        <v>174</v>
      </c>
      <c r="C38" s="244">
        <f t="shared" si="2"/>
        <v>9.5500000000000012E-3</v>
      </c>
      <c r="D38" s="258">
        <f>ROUND(Propiedades!H16*Propiedades!V16,3)</f>
        <v>221.691</v>
      </c>
      <c r="E38" s="244"/>
      <c r="F38" s="244"/>
      <c r="G38" s="257">
        <f t="shared" ref="G38:G39" si="3">C38/D38*1000</f>
        <v>4.3077977906184742E-2</v>
      </c>
      <c r="J38" s="310">
        <f>+(G52-G54)/G52</f>
        <v>1.5972138753771799E-2</v>
      </c>
    </row>
    <row r="39" spans="2:10" x14ac:dyDescent="0.2">
      <c r="B39" s="243" t="s">
        <v>175</v>
      </c>
      <c r="C39" s="244">
        <f t="shared" si="2"/>
        <v>4.9299999999999997E-2</v>
      </c>
      <c r="D39" s="258">
        <f>ROUND(Propiedades!H17*Propiedades!V17,3)</f>
        <v>229.28399999999999</v>
      </c>
      <c r="E39" s="244"/>
      <c r="F39" s="244"/>
      <c r="G39" s="257">
        <f t="shared" si="3"/>
        <v>0.21501718392910102</v>
      </c>
    </row>
    <row r="40" spans="2:10" x14ac:dyDescent="0.2">
      <c r="B40" s="243" t="s">
        <v>176</v>
      </c>
      <c r="C40" s="244">
        <f t="shared" si="2"/>
        <v>3.6749999999999998E-2</v>
      </c>
      <c r="D40" s="258">
        <f>ROUND(Propiedades!H19*Propiedades!V19,3)</f>
        <v>193.97</v>
      </c>
      <c r="E40" s="308"/>
      <c r="F40" s="308"/>
      <c r="G40" s="257">
        <f>C40/D40*1000</f>
        <v>0.18946228798267772</v>
      </c>
    </row>
    <row r="41" spans="2:10" x14ac:dyDescent="0.2">
      <c r="B41" s="243" t="s">
        <v>177</v>
      </c>
      <c r="C41" s="244">
        <f t="shared" si="2"/>
        <v>8.5050000000000014E-2</v>
      </c>
      <c r="D41" s="258">
        <f>ROUND(Propiedades!H20*Propiedades!V20,3)</f>
        <v>193.762</v>
      </c>
      <c r="E41" s="308"/>
      <c r="F41" s="308"/>
      <c r="G41" s="257">
        <f>C41/D41*1000</f>
        <v>0.43894055593976122</v>
      </c>
    </row>
    <row r="42" spans="2:10" x14ac:dyDescent="0.2">
      <c r="B42" s="243" t="s">
        <v>178</v>
      </c>
      <c r="C42" s="244">
        <f t="shared" si="2"/>
        <v>0.15259999999999999</v>
      </c>
      <c r="D42" s="258">
        <f>ROUND(Propiedades!H21*Propiedades!V21,3)</f>
        <v>166.303</v>
      </c>
      <c r="E42" s="308"/>
      <c r="F42" s="308"/>
      <c r="G42" s="257">
        <f>C42/D42*1000</f>
        <v>0.91760220801789505</v>
      </c>
    </row>
    <row r="43" spans="2:10" x14ac:dyDescent="0.2">
      <c r="B43" s="243" t="s">
        <v>242</v>
      </c>
      <c r="C43" s="244">
        <f t="shared" si="2"/>
        <v>2.8050000000000002E-2</v>
      </c>
      <c r="D43" s="258">
        <f>ROUND(Propiedades!H22*Propiedades!V22,3)</f>
        <v>140.55199999999999</v>
      </c>
      <c r="E43" s="308"/>
      <c r="F43" s="308"/>
      <c r="G43" s="257">
        <f>C43/D43*1000</f>
        <v>0.19957026580909559</v>
      </c>
    </row>
    <row r="44" spans="2:10" x14ac:dyDescent="0.2">
      <c r="B44" s="243" t="s">
        <v>243</v>
      </c>
      <c r="C44" s="244">
        <f t="shared" si="2"/>
        <v>2.375E-2</v>
      </c>
      <c r="D44" s="258">
        <f>ROUND(Propiedades!H23*Propiedades!V23,3)</f>
        <v>117.29300000000001</v>
      </c>
      <c r="E44" s="308"/>
      <c r="F44" s="308"/>
      <c r="G44" s="257">
        <f>C44/D44*1000</f>
        <v>0.20248437673177425</v>
      </c>
    </row>
    <row r="45" spans="2:10" x14ac:dyDescent="0.2">
      <c r="B45" s="248" t="s">
        <v>36</v>
      </c>
      <c r="C45" s="251">
        <f>SUM(C33:C44)</f>
        <v>0.38505</v>
      </c>
      <c r="D45" s="307"/>
      <c r="E45" s="250">
        <f>SUM(E33:E44)</f>
        <v>0</v>
      </c>
      <c r="F45" s="250">
        <f>SUM(F33:F44)</f>
        <v>0</v>
      </c>
      <c r="G45" s="250">
        <f>SUM(G33:G44)</f>
        <v>2.2061548563164899</v>
      </c>
    </row>
    <row r="48" spans="2:10" ht="15.75" x14ac:dyDescent="0.25">
      <c r="B48" s="237" t="s">
        <v>196</v>
      </c>
      <c r="H48" s="237"/>
    </row>
    <row r="49" spans="3:16" x14ac:dyDescent="0.2">
      <c r="E49" s="303" t="s">
        <v>197</v>
      </c>
      <c r="F49" s="303" t="s">
        <v>198</v>
      </c>
      <c r="G49" s="303" t="s">
        <v>199</v>
      </c>
    </row>
    <row r="50" spans="3:16" x14ac:dyDescent="0.2">
      <c r="C50" s="230" t="s">
        <v>200</v>
      </c>
      <c r="D50" s="232" t="s">
        <v>201</v>
      </c>
      <c r="E50" s="233" t="s">
        <v>202</v>
      </c>
      <c r="F50" s="232" t="s">
        <v>203</v>
      </c>
      <c r="G50" s="239" t="s">
        <v>204</v>
      </c>
    </row>
    <row r="51" spans="3:16" x14ac:dyDescent="0.2">
      <c r="C51" s="297"/>
      <c r="D51" s="311"/>
      <c r="E51" s="298"/>
      <c r="F51" s="259" t="s">
        <v>205</v>
      </c>
      <c r="G51" s="260" t="s">
        <v>206</v>
      </c>
    </row>
    <row r="52" spans="3:16" x14ac:dyDescent="0.2">
      <c r="C52" s="243" t="s">
        <v>207</v>
      </c>
      <c r="D52" s="261" t="s">
        <v>156</v>
      </c>
      <c r="E52" s="262">
        <f>F6</f>
        <v>1000000</v>
      </c>
      <c r="F52" s="263">
        <f>G6</f>
        <v>9628</v>
      </c>
      <c r="G52" s="264">
        <f>E52*F52/9300</f>
        <v>1035268.8172043011</v>
      </c>
    </row>
    <row r="53" spans="3:16" x14ac:dyDescent="0.2">
      <c r="C53" s="328">
        <v>0</v>
      </c>
      <c r="D53" s="261" t="s">
        <v>156</v>
      </c>
      <c r="E53" s="265">
        <f>+F6*C53</f>
        <v>0</v>
      </c>
      <c r="F53" s="246">
        <f>+G6</f>
        <v>9628</v>
      </c>
      <c r="G53" s="264">
        <f>E53*F53/9300</f>
        <v>0</v>
      </c>
    </row>
    <row r="54" spans="3:16" x14ac:dyDescent="0.2">
      <c r="C54" s="243" t="s">
        <v>166</v>
      </c>
      <c r="D54" s="261" t="s">
        <v>156</v>
      </c>
      <c r="E54" s="262">
        <f>(F6-E53)*$E$26/100</f>
        <v>996149.49999999988</v>
      </c>
      <c r="F54" s="266">
        <f>G26</f>
        <v>9510.8417442147856</v>
      </c>
      <c r="G54" s="264">
        <f>E54*F54/9300</f>
        <v>1018733.3600084608</v>
      </c>
    </row>
    <row r="55" spans="3:16" x14ac:dyDescent="0.2">
      <c r="C55" s="268" t="s">
        <v>209</v>
      </c>
      <c r="D55" s="269" t="s">
        <v>212</v>
      </c>
      <c r="E55" s="270">
        <f>+F6*$G$38/100</f>
        <v>430.77977906184742</v>
      </c>
      <c r="F55" s="271">
        <f>Propiedades!V40/Propiedades!$G$6</f>
        <v>6595.1499223509736</v>
      </c>
      <c r="G55" s="272">
        <f t="shared" ref="G55:G62" si="4">F55*E55/9300</f>
        <v>305.49002434732392</v>
      </c>
    </row>
    <row r="56" spans="3:16" x14ac:dyDescent="0.2">
      <c r="C56" s="273" t="s">
        <v>210</v>
      </c>
      <c r="D56" s="269" t="s">
        <v>212</v>
      </c>
      <c r="E56" s="270">
        <f>+F6*$G$39/100</f>
        <v>2150.1718392910102</v>
      </c>
      <c r="F56" s="271">
        <f>Propiedades!V41/Propiedades!$G$6</f>
        <v>6860.5901326006451</v>
      </c>
      <c r="G56" s="272">
        <f t="shared" si="4"/>
        <v>1586.1771724769553</v>
      </c>
    </row>
    <row r="57" spans="3:16" x14ac:dyDescent="0.2">
      <c r="C57" s="268" t="s">
        <v>211</v>
      </c>
      <c r="D57" s="269" t="s">
        <v>212</v>
      </c>
      <c r="E57" s="270">
        <f>+F6*$G$40/100</f>
        <v>1894.6228798267773</v>
      </c>
      <c r="F57" s="271">
        <f>Propiedades!V43/Propiedades!$G$6</f>
        <v>7248.8352646039893</v>
      </c>
      <c r="G57" s="272">
        <f t="shared" si="4"/>
        <v>1476.7536714423559</v>
      </c>
    </row>
    <row r="58" spans="3:16" x14ac:dyDescent="0.2">
      <c r="C58" s="268" t="s">
        <v>213</v>
      </c>
      <c r="D58" s="269" t="s">
        <v>212</v>
      </c>
      <c r="E58" s="270">
        <f>+F6*$G$41/100</f>
        <v>4389.4055593976118</v>
      </c>
      <c r="F58" s="271">
        <f>Propiedades!V44/Propiedades!$G$6</f>
        <v>7337.2356946601358</v>
      </c>
      <c r="G58" s="272">
        <f t="shared" si="4"/>
        <v>3463.0218439518062</v>
      </c>
    </row>
    <row r="59" spans="3:16" x14ac:dyDescent="0.2">
      <c r="C59" s="289" t="s">
        <v>244</v>
      </c>
      <c r="D59" s="269" t="s">
        <v>212</v>
      </c>
      <c r="E59" s="270">
        <f>+F6*$G$42/100</f>
        <v>9176.0220801789492</v>
      </c>
      <c r="F59" s="271">
        <f>Propiedades!V45/Propiedades!$G$6</f>
        <v>7667.9010870863694</v>
      </c>
      <c r="G59" s="272">
        <f t="shared" si="4"/>
        <v>7565.6806111540527</v>
      </c>
    </row>
    <row r="60" spans="3:16" x14ac:dyDescent="0.2">
      <c r="C60" s="289" t="s">
        <v>245</v>
      </c>
      <c r="D60" s="269" t="s">
        <v>212</v>
      </c>
      <c r="E60" s="270">
        <f>+F6*$G$43/100</f>
        <v>1995.7026580909558</v>
      </c>
      <c r="F60" s="271">
        <f>Propiedades!V46/Propiedades!$G$6</f>
        <v>7905.1487277505666</v>
      </c>
      <c r="G60" s="272">
        <f t="shared" si="4"/>
        <v>1696.3791751157144</v>
      </c>
    </row>
    <row r="61" spans="3:16" x14ac:dyDescent="0.2">
      <c r="C61" s="289" t="s">
        <v>246</v>
      </c>
      <c r="D61" s="269" t="s">
        <v>212</v>
      </c>
      <c r="E61" s="270">
        <f>+F6*$G$44/100</f>
        <v>2024.8437673177425</v>
      </c>
      <c r="F61" s="271">
        <f>Propiedades!V47/Propiedades!$G$6</f>
        <v>8089.117190299844</v>
      </c>
      <c r="G61" s="272">
        <f t="shared" si="4"/>
        <v>1761.2041425678976</v>
      </c>
    </row>
    <row r="62" spans="3:16" x14ac:dyDescent="0.2">
      <c r="C62" s="274" t="s">
        <v>189</v>
      </c>
      <c r="D62" s="234" t="s">
        <v>212</v>
      </c>
      <c r="E62" s="275">
        <f>F6*$G$45/100</f>
        <v>22061.548563164903</v>
      </c>
      <c r="F62" s="291">
        <f>(G38*F55+G39*F56+G40*F57+G41*F58+G42*F59+G43*F60+G44*F61)/(G38+G39+G40+G41+G42+G43+G44)</f>
        <v>7526.6145205720231</v>
      </c>
      <c r="G62" s="276">
        <f t="shared" si="4"/>
        <v>17854.706641056109</v>
      </c>
      <c r="H62" s="312" t="str">
        <f>+IF(ABS(G62-G55-G56-G57-G58-G59-G60-G61)&gt;1,G61+G60+G59+G58+G57+G56+G55,"")</f>
        <v/>
      </c>
      <c r="J62" s="312"/>
    </row>
    <row r="63" spans="3:16" x14ac:dyDescent="0.2">
      <c r="F63" s="334" t="s">
        <v>214</v>
      </c>
      <c r="G63" s="335" t="e">
        <f>-G52+G53+G54+#REF!+G62</f>
        <v>#REF!</v>
      </c>
    </row>
    <row r="64" spans="3:16" x14ac:dyDescent="0.2">
      <c r="J64" t="s">
        <v>215</v>
      </c>
      <c r="L64" s="167" t="s">
        <v>216</v>
      </c>
      <c r="M64" s="20" t="s">
        <v>217</v>
      </c>
      <c r="N64" s="313" t="s">
        <v>218</v>
      </c>
      <c r="P64" s="20"/>
    </row>
    <row r="65" spans="2:17" x14ac:dyDescent="0.2">
      <c r="J65" t="s">
        <v>219</v>
      </c>
      <c r="K65" s="347">
        <v>3</v>
      </c>
      <c r="L65" s="347">
        <v>65</v>
      </c>
      <c r="M65" s="347"/>
      <c r="N65" s="347"/>
    </row>
    <row r="66" spans="2:17" ht="15.75" x14ac:dyDescent="0.25">
      <c r="B66" s="237" t="s">
        <v>220</v>
      </c>
      <c r="H66" s="237"/>
      <c r="J66" s="37" t="s">
        <v>221</v>
      </c>
      <c r="N66" s="20"/>
    </row>
    <row r="67" spans="2:17" x14ac:dyDescent="0.2">
      <c r="E67" s="303" t="s">
        <v>222</v>
      </c>
      <c r="F67" s="303" t="s">
        <v>223</v>
      </c>
      <c r="G67" s="303" t="s">
        <v>224</v>
      </c>
      <c r="J67" t="s">
        <v>225</v>
      </c>
      <c r="K67" s="332">
        <f>1+G81/(G70-G72)</f>
        <v>4.9282661974576198</v>
      </c>
      <c r="L67" s="314">
        <f>+K67*K65</f>
        <v>14.784798592372859</v>
      </c>
      <c r="N67" s="333"/>
    </row>
    <row r="68" spans="2:17" x14ac:dyDescent="0.2">
      <c r="C68" s="230" t="s">
        <v>200</v>
      </c>
      <c r="D68" s="232" t="s">
        <v>201</v>
      </c>
      <c r="E68" s="233" t="s">
        <v>202</v>
      </c>
      <c r="F68" s="232" t="s">
        <v>226</v>
      </c>
      <c r="G68" s="239" t="s">
        <v>227</v>
      </c>
    </row>
    <row r="69" spans="2:17" x14ac:dyDescent="0.2">
      <c r="C69" s="297"/>
      <c r="D69" s="311"/>
      <c r="E69" s="298"/>
      <c r="F69" s="277" t="s">
        <v>228</v>
      </c>
      <c r="G69" s="278" t="s">
        <v>229</v>
      </c>
      <c r="J69" s="33" t="s">
        <v>226</v>
      </c>
      <c r="K69" s="33"/>
      <c r="L69" s="288"/>
    </row>
    <row r="70" spans="2:17" x14ac:dyDescent="0.2">
      <c r="C70" s="243" t="s">
        <v>207</v>
      </c>
      <c r="D70" s="261" t="s">
        <v>230</v>
      </c>
      <c r="E70" s="279">
        <f>G52/1000</f>
        <v>1035.2688172043011</v>
      </c>
      <c r="F70" s="315">
        <f>K65*36.8939</f>
        <v>110.68170000000001</v>
      </c>
      <c r="G70" s="280">
        <f>E70*F70</f>
        <v>114585.31264516129</v>
      </c>
      <c r="J70" s="316" t="s">
        <v>231</v>
      </c>
      <c r="K70" s="316"/>
      <c r="L70" s="317" t="s">
        <v>232</v>
      </c>
      <c r="M70" s="33"/>
    </row>
    <row r="71" spans="2:17" ht="14.25" x14ac:dyDescent="0.2">
      <c r="C71" s="281">
        <f>+C53</f>
        <v>0</v>
      </c>
      <c r="D71" s="261" t="s">
        <v>230</v>
      </c>
      <c r="E71" s="279">
        <f>+G53/1000</f>
        <v>0</v>
      </c>
      <c r="F71" s="315">
        <f>+F70</f>
        <v>110.68170000000001</v>
      </c>
      <c r="G71" s="280">
        <f>-E71*F71</f>
        <v>0</v>
      </c>
      <c r="J71" s="318" t="s">
        <v>233</v>
      </c>
      <c r="K71" s="319" t="s">
        <v>234</v>
      </c>
      <c r="L71" s="318" t="s">
        <v>234</v>
      </c>
      <c r="M71" t="s">
        <v>219</v>
      </c>
    </row>
    <row r="72" spans="2:17" x14ac:dyDescent="0.2">
      <c r="C72" s="243" t="s">
        <v>166</v>
      </c>
      <c r="D72" s="261" t="s">
        <v>230</v>
      </c>
      <c r="E72" s="279">
        <f>G54/1000</f>
        <v>1018.7333600084609</v>
      </c>
      <c r="F72" s="315">
        <f>+F70</f>
        <v>110.68170000000001</v>
      </c>
      <c r="G72" s="280">
        <f t="shared" ref="G72:G80" si="5">E72*F72</f>
        <v>112755.14013244848</v>
      </c>
    </row>
    <row r="73" spans="2:17" x14ac:dyDescent="0.2">
      <c r="C73" s="268" t="s">
        <v>209</v>
      </c>
      <c r="D73" s="269" t="s">
        <v>235</v>
      </c>
      <c r="E73" s="282">
        <f t="shared" ref="E73:E80" si="6">E55/1000</f>
        <v>0.43077977906184745</v>
      </c>
      <c r="F73" s="323">
        <f t="shared" ref="F73:F74" si="7">+F78</f>
        <v>408.83699999999999</v>
      </c>
      <c r="G73" s="283">
        <f t="shared" si="5"/>
        <v>176.11871253230851</v>
      </c>
      <c r="J73" s="314">
        <f t="shared" ref="J73:J80" si="8">+G73/G55*1000</f>
        <v>576.5121558669033</v>
      </c>
      <c r="K73" s="314">
        <f t="shared" ref="K73:K80" si="9">+F55/9300*$F$70</f>
        <v>78.490581200072455</v>
      </c>
      <c r="L73" s="320">
        <f t="shared" ref="L73:L74" si="10">+L78</f>
        <v>408.83699999999999</v>
      </c>
      <c r="M73" s="321">
        <f t="shared" ref="M73:M80" si="11">+F73/K73*$K$65</f>
        <v>15.626218856420797</v>
      </c>
      <c r="O73" s="321"/>
      <c r="Q73" s="322"/>
    </row>
    <row r="74" spans="2:17" x14ac:dyDescent="0.2">
      <c r="C74" s="268" t="s">
        <v>210</v>
      </c>
      <c r="D74" s="269" t="s">
        <v>235</v>
      </c>
      <c r="E74" s="282">
        <f t="shared" si="6"/>
        <v>2.1501718392910103</v>
      </c>
      <c r="F74" s="323">
        <f t="shared" si="7"/>
        <v>408.83699999999999</v>
      </c>
      <c r="G74" s="283">
        <f t="shared" si="5"/>
        <v>879.0698042602188</v>
      </c>
      <c r="J74" s="314">
        <f t="shared" si="8"/>
        <v>554.20656627372455</v>
      </c>
      <c r="K74" s="314">
        <f t="shared" si="9"/>
        <v>81.649653642953211</v>
      </c>
      <c r="L74" s="320">
        <f t="shared" si="10"/>
        <v>408.83699999999999</v>
      </c>
      <c r="M74" s="321">
        <f t="shared" si="11"/>
        <v>15.021631388216601</v>
      </c>
      <c r="O74" s="321"/>
      <c r="Q74" s="322"/>
    </row>
    <row r="75" spans="2:17" x14ac:dyDescent="0.2">
      <c r="C75" s="268" t="s">
        <v>211</v>
      </c>
      <c r="D75" s="269" t="s">
        <v>236</v>
      </c>
      <c r="E75" s="282">
        <f t="shared" si="6"/>
        <v>1.8946228798267772</v>
      </c>
      <c r="F75" s="323">
        <f>+F80</f>
        <v>408.83699999999999</v>
      </c>
      <c r="G75" s="283">
        <f t="shared" si="5"/>
        <v>774.59193431974006</v>
      </c>
      <c r="J75" s="314">
        <f t="shared" si="8"/>
        <v>524.52345255603166</v>
      </c>
      <c r="K75" s="314">
        <f t="shared" si="9"/>
        <v>86.270259151217147</v>
      </c>
      <c r="L75" s="320">
        <f>+L80</f>
        <v>408.83699999999999</v>
      </c>
      <c r="M75" s="321">
        <f t="shared" si="11"/>
        <v>14.217077960205661</v>
      </c>
      <c r="N75" s="321"/>
      <c r="O75" s="321"/>
      <c r="Q75" s="322"/>
    </row>
    <row r="76" spans="2:17" x14ac:dyDescent="0.2">
      <c r="C76" s="268" t="s">
        <v>213</v>
      </c>
      <c r="D76" s="269" t="s">
        <v>236</v>
      </c>
      <c r="E76" s="282">
        <f t="shared" si="6"/>
        <v>4.3894055593976118</v>
      </c>
      <c r="F76" s="323">
        <f>+F80</f>
        <v>408.83699999999999</v>
      </c>
      <c r="G76" s="283">
        <f t="shared" si="5"/>
        <v>1794.5514006874414</v>
      </c>
      <c r="J76" s="314">
        <f t="shared" si="8"/>
        <v>518.20389288668184</v>
      </c>
      <c r="K76" s="314">
        <f t="shared" si="9"/>
        <v>87.322335482329549</v>
      </c>
      <c r="L76" s="320">
        <f>+L80</f>
        <v>408.83699999999999</v>
      </c>
      <c r="M76" s="321">
        <f t="shared" si="11"/>
        <v>14.045787864299569</v>
      </c>
      <c r="N76" s="321"/>
      <c r="O76" s="321"/>
      <c r="Q76" s="322"/>
    </row>
    <row r="77" spans="2:17" x14ac:dyDescent="0.2">
      <c r="C77" s="289" t="s">
        <v>244</v>
      </c>
      <c r="D77" s="269" t="s">
        <v>236</v>
      </c>
      <c r="E77" s="282">
        <f t="shared" si="6"/>
        <v>9.1760220801789494</v>
      </c>
      <c r="F77" s="323">
        <f>+F80</f>
        <v>408.83699999999999</v>
      </c>
      <c r="G77" s="283">
        <f t="shared" si="5"/>
        <v>3751.4973391941212</v>
      </c>
      <c r="J77" s="314">
        <f t="shared" si="8"/>
        <v>495.85721787717335</v>
      </c>
      <c r="K77" s="314">
        <f t="shared" si="9"/>
        <v>91.257669650598658</v>
      </c>
      <c r="L77" s="320">
        <f>+L80</f>
        <v>408.83699999999999</v>
      </c>
      <c r="M77" s="321">
        <f t="shared" si="11"/>
        <v>13.440086786085864</v>
      </c>
      <c r="N77" s="321"/>
      <c r="O77" s="321"/>
      <c r="Q77" s="322"/>
    </row>
    <row r="78" spans="2:17" x14ac:dyDescent="0.2">
      <c r="C78" s="289" t="s">
        <v>245</v>
      </c>
      <c r="D78" s="269" t="s">
        <v>236</v>
      </c>
      <c r="E78" s="282">
        <f t="shared" si="6"/>
        <v>1.9957026580909558</v>
      </c>
      <c r="F78" s="323">
        <f>+F80</f>
        <v>408.83699999999999</v>
      </c>
      <c r="G78" s="283">
        <f t="shared" si="5"/>
        <v>815.91708762593203</v>
      </c>
      <c r="J78" s="314">
        <f t="shared" si="8"/>
        <v>480.97565661891377</v>
      </c>
      <c r="K78" s="314">
        <f t="shared" si="9"/>
        <v>94.081215047340848</v>
      </c>
      <c r="L78" s="320">
        <f>+L80</f>
        <v>408.83699999999999</v>
      </c>
      <c r="M78" s="321">
        <f t="shared" si="11"/>
        <v>13.036725762766036</v>
      </c>
      <c r="N78" s="321"/>
      <c r="O78" s="321"/>
      <c r="Q78" s="322"/>
    </row>
    <row r="79" spans="2:17" x14ac:dyDescent="0.2">
      <c r="C79" s="289" t="s">
        <v>246</v>
      </c>
      <c r="D79" s="269" t="s">
        <v>236</v>
      </c>
      <c r="E79" s="282">
        <f t="shared" si="6"/>
        <v>2.0248437673177424</v>
      </c>
      <c r="F79" s="323">
        <f>+F80</f>
        <v>408.83699999999999</v>
      </c>
      <c r="G79" s="283">
        <f t="shared" si="5"/>
        <v>827.83105129888384</v>
      </c>
      <c r="J79" s="314">
        <f t="shared" si="8"/>
        <v>470.03696578403287</v>
      </c>
      <c r="K79" s="314">
        <f t="shared" si="9"/>
        <v>96.270671195872069</v>
      </c>
      <c r="L79" s="320">
        <f>+L80</f>
        <v>408.83699999999999</v>
      </c>
      <c r="M79" s="321">
        <f t="shared" si="11"/>
        <v>12.740235263391316</v>
      </c>
      <c r="N79" s="321"/>
      <c r="O79" s="321"/>
      <c r="Q79" s="322"/>
    </row>
    <row r="80" spans="2:17" x14ac:dyDescent="0.2">
      <c r="C80" s="274" t="s">
        <v>189</v>
      </c>
      <c r="D80" s="234" t="s">
        <v>236</v>
      </c>
      <c r="E80" s="284">
        <f t="shared" si="6"/>
        <v>22.061548563164902</v>
      </c>
      <c r="F80" s="330">
        <f>+L80</f>
        <v>408.83699999999999</v>
      </c>
      <c r="G80" s="285">
        <f t="shared" si="5"/>
        <v>9019.5773299186494</v>
      </c>
      <c r="H80" t="str">
        <f>+IF(ABS(G80-G73-G74-G75-G76-G77-G78-G79)&gt;1,G79+G78+G77+G76+G75+G74+G73,"")</f>
        <v/>
      </c>
      <c r="J80" s="314">
        <f t="shared" si="8"/>
        <v>505.16524921101359</v>
      </c>
      <c r="K80" s="314">
        <f t="shared" si="9"/>
        <v>89.576181761461996</v>
      </c>
      <c r="L80" s="320">
        <f>+L65*6.2898-(N65*0.7)</f>
        <v>408.83699999999999</v>
      </c>
      <c r="M80" s="321">
        <f t="shared" si="11"/>
        <v>13.692378664522145</v>
      </c>
      <c r="O80" s="321"/>
      <c r="Q80" s="322"/>
    </row>
    <row r="81" spans="2:15" x14ac:dyDescent="0.2">
      <c r="F81" s="286" t="s">
        <v>237</v>
      </c>
      <c r="G81" s="287">
        <f>SUM(G72:G80)-G70-G80</f>
        <v>7189.4048172058301</v>
      </c>
      <c r="I81" s="288"/>
      <c r="J81" s="324">
        <f>+(G80)/(G62)*1000</f>
        <v>505.16524921101359</v>
      </c>
      <c r="M81" s="325">
        <f>+J81/36.8939</f>
        <v>13.692378664522145</v>
      </c>
      <c r="O81" s="321"/>
    </row>
    <row r="82" spans="2:15" x14ac:dyDescent="0.2">
      <c r="H82" s="326"/>
    </row>
    <row r="83" spans="2:15" x14ac:dyDescent="0.2">
      <c r="G83" s="326"/>
    </row>
    <row r="84" spans="2:15" x14ac:dyDescent="0.2">
      <c r="B84" s="288" t="s">
        <v>238</v>
      </c>
      <c r="C84" s="288" t="s">
        <v>239</v>
      </c>
      <c r="H84" s="288"/>
    </row>
    <row r="85" spans="2:15" x14ac:dyDescent="0.2">
      <c r="C85" s="288" t="s">
        <v>240</v>
      </c>
    </row>
    <row r="86" spans="2:15" x14ac:dyDescent="0.2">
      <c r="C86" s="288" t="s">
        <v>241</v>
      </c>
    </row>
  </sheetData>
  <sheetProtection algorithmName="SHA-512" hashValue="/fm9Dx7hv9xvXjMe9qOwodW1c46nKbn6NIfW3w3utUvuBScWL+FGCcYqVPNyBp0U3jttF9Aw1ShfZWIcXk+oLg==" saltValue="1ddsRDRv4vcdatFpRqCpnw==" spinCount="100000" sheet="1" formatCells="0" formatColumns="0" formatRows="0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90"/>
  <sheetViews>
    <sheetView workbookViewId="0">
      <selection activeCell="C5" sqref="C5"/>
    </sheetView>
  </sheetViews>
  <sheetFormatPr baseColWidth="10" defaultColWidth="9.7109375" defaultRowHeight="12.75" x14ac:dyDescent="0.2"/>
  <cols>
    <col min="1" max="1" width="4.140625" customWidth="1"/>
    <col min="2" max="2" width="8.140625" customWidth="1"/>
    <col min="3" max="3" width="12.7109375" customWidth="1"/>
    <col min="4" max="4" width="13.7109375" customWidth="1"/>
    <col min="5" max="6" width="12.7109375" customWidth="1"/>
    <col min="7" max="7" width="15.28515625" customWidth="1"/>
    <col min="8" max="8" width="8.140625" customWidth="1"/>
    <col min="9" max="9" width="9.7109375" customWidth="1"/>
    <col min="10" max="10" width="10.5703125" customWidth="1"/>
    <col min="12" max="12" width="12.7109375" customWidth="1"/>
    <col min="13" max="13" width="11.28515625" customWidth="1"/>
    <col min="14" max="14" width="11.7109375" bestFit="1" customWidth="1"/>
    <col min="15" max="15" width="11.7109375" customWidth="1"/>
  </cols>
  <sheetData>
    <row r="1" spans="2:8" ht="26.25" x14ac:dyDescent="0.4">
      <c r="B1" s="229" t="s">
        <v>150</v>
      </c>
      <c r="C1" s="33"/>
      <c r="D1" s="33"/>
      <c r="E1" s="33"/>
      <c r="F1" s="33"/>
      <c r="G1" s="33"/>
      <c r="H1" s="229"/>
    </row>
    <row r="2" spans="2:8" ht="15.75" x14ac:dyDescent="0.25">
      <c r="B2" s="294"/>
      <c r="C2" s="294"/>
      <c r="D2" s="294"/>
      <c r="E2" s="294"/>
      <c r="F2" s="294"/>
      <c r="G2" s="294"/>
      <c r="H2" s="294"/>
    </row>
    <row r="3" spans="2:8" x14ac:dyDescent="0.2">
      <c r="F3" s="295" t="s">
        <v>151</v>
      </c>
      <c r="G3" s="295" t="s">
        <v>152</v>
      </c>
    </row>
    <row r="4" spans="2:8" x14ac:dyDescent="0.2">
      <c r="C4" s="230" t="s">
        <v>153</v>
      </c>
      <c r="D4" s="231" t="s">
        <v>154</v>
      </c>
      <c r="E4" s="296"/>
      <c r="F4" s="232" t="s">
        <v>148</v>
      </c>
      <c r="G4" s="233" t="s">
        <v>155</v>
      </c>
    </row>
    <row r="5" spans="2:8" x14ac:dyDescent="0.2">
      <c r="C5" s="297"/>
      <c r="D5" s="297"/>
      <c r="E5" s="298"/>
      <c r="F5" s="234" t="s">
        <v>156</v>
      </c>
      <c r="G5" s="235" t="s">
        <v>157</v>
      </c>
    </row>
    <row r="6" spans="2:8" x14ac:dyDescent="0.2">
      <c r="C6" s="299" t="s">
        <v>36</v>
      </c>
      <c r="D6" s="300" t="str">
        <f>+Croma!C4</f>
        <v>BK 2023</v>
      </c>
      <c r="E6" s="301"/>
      <c r="F6" s="302">
        <f>+Croma!D6</f>
        <v>1000000</v>
      </c>
      <c r="G6" s="236">
        <f>+Croma!P32</f>
        <v>9628</v>
      </c>
    </row>
    <row r="9" spans="2:8" ht="15.75" x14ac:dyDescent="0.25">
      <c r="B9" s="237" t="s">
        <v>158</v>
      </c>
      <c r="H9" s="237"/>
    </row>
    <row r="10" spans="2:8" x14ac:dyDescent="0.2">
      <c r="C10" s="295" t="s">
        <v>159</v>
      </c>
      <c r="D10" s="295" t="s">
        <v>160</v>
      </c>
      <c r="E10" s="303" t="s">
        <v>161</v>
      </c>
      <c r="F10" s="304" t="s">
        <v>162</v>
      </c>
      <c r="G10" s="295" t="s">
        <v>163</v>
      </c>
    </row>
    <row r="11" spans="2:8" x14ac:dyDescent="0.2">
      <c r="C11" s="232" t="s">
        <v>164</v>
      </c>
      <c r="D11" s="238" t="s">
        <v>165</v>
      </c>
      <c r="E11" s="239" t="s">
        <v>166</v>
      </c>
      <c r="F11" s="238" t="s">
        <v>166</v>
      </c>
      <c r="G11" s="232" t="s">
        <v>155</v>
      </c>
    </row>
    <row r="12" spans="2:8" x14ac:dyDescent="0.2">
      <c r="B12" s="305"/>
      <c r="C12" s="240" t="s">
        <v>167</v>
      </c>
      <c r="D12" s="241" t="s">
        <v>168</v>
      </c>
      <c r="E12" s="242" t="s">
        <v>169</v>
      </c>
      <c r="F12" s="241" t="s">
        <v>167</v>
      </c>
      <c r="G12" s="234" t="s">
        <v>170</v>
      </c>
    </row>
    <row r="13" spans="2:8" x14ac:dyDescent="0.2">
      <c r="B13" s="243" t="s">
        <v>11</v>
      </c>
      <c r="C13" s="306">
        <f>+Croma!C9</f>
        <v>1.8160000000000001</v>
      </c>
      <c r="D13" s="327"/>
      <c r="E13" s="244">
        <f t="shared" ref="E13:E25" si="0">C13*(1-D13/100)</f>
        <v>1.8160000000000001</v>
      </c>
      <c r="F13" s="245">
        <f t="shared" ref="F13:F25" si="1">IF($E$26=0,0,E13/$E$26*100)</f>
        <v>1.8658989903390408</v>
      </c>
      <c r="G13" s="246">
        <f>+Propiedades!K26</f>
        <v>0</v>
      </c>
    </row>
    <row r="14" spans="2:8" x14ac:dyDescent="0.2">
      <c r="B14" s="243" t="s">
        <v>21</v>
      </c>
      <c r="C14" s="306">
        <f>+Croma!C10</f>
        <v>0.29899999999999999</v>
      </c>
      <c r="D14" s="331">
        <v>0</v>
      </c>
      <c r="E14" s="244">
        <f t="shared" si="0"/>
        <v>0.29899999999999999</v>
      </c>
      <c r="F14" s="245">
        <f t="shared" si="1"/>
        <v>0.30721574785868572</v>
      </c>
      <c r="G14" s="246">
        <f>+Propiedades!K27</f>
        <v>0</v>
      </c>
    </row>
    <row r="15" spans="2:8" x14ac:dyDescent="0.2">
      <c r="B15" s="243" t="s">
        <v>171</v>
      </c>
      <c r="C15" s="306">
        <f>+Croma!C11</f>
        <v>91.218999999999994</v>
      </c>
      <c r="D15" s="327"/>
      <c r="E15" s="244">
        <f t="shared" si="0"/>
        <v>91.218999999999994</v>
      </c>
      <c r="F15" s="245">
        <f t="shared" si="1"/>
        <v>93.725462554921236</v>
      </c>
      <c r="G15" s="246">
        <f>+Propiedades!K13</f>
        <v>9008.7000000000007</v>
      </c>
    </row>
    <row r="16" spans="2:8" x14ac:dyDescent="0.2">
      <c r="B16" s="243" t="s">
        <v>172</v>
      </c>
      <c r="C16" s="306">
        <f>+Croma!C12</f>
        <v>3.9119999999999999</v>
      </c>
      <c r="D16" s="247"/>
      <c r="E16" s="244">
        <f t="shared" si="0"/>
        <v>3.9119999999999999</v>
      </c>
      <c r="F16" s="245">
        <f t="shared" si="1"/>
        <v>4.0194916576026039</v>
      </c>
      <c r="G16" s="246">
        <f>+Propiedades!K14</f>
        <v>15785.4</v>
      </c>
    </row>
    <row r="17" spans="2:10" x14ac:dyDescent="0.2">
      <c r="B17" s="243" t="s">
        <v>173</v>
      </c>
      <c r="C17" s="306">
        <f>+Croma!C13</f>
        <v>1.458</v>
      </c>
      <c r="D17" s="247">
        <v>95</v>
      </c>
      <c r="E17" s="244">
        <f t="shared" si="0"/>
        <v>7.2900000000000062E-2</v>
      </c>
      <c r="F17" s="245">
        <f t="shared" si="1"/>
        <v>7.4903103742134478E-2</v>
      </c>
      <c r="G17" s="246">
        <f>+Propiedades!K15</f>
        <v>22444.2</v>
      </c>
    </row>
    <row r="18" spans="2:10" x14ac:dyDescent="0.2">
      <c r="B18" s="243" t="s">
        <v>174</v>
      </c>
      <c r="C18" s="306">
        <f>+Croma!C14</f>
        <v>0.191</v>
      </c>
      <c r="D18" s="247">
        <v>99</v>
      </c>
      <c r="E18" s="244">
        <f t="shared" si="0"/>
        <v>1.9100000000000018E-3</v>
      </c>
      <c r="F18" s="245">
        <f t="shared" si="1"/>
        <v>1.9624818675922748E-3</v>
      </c>
      <c r="G18" s="246">
        <f>+Propiedades!K16</f>
        <v>29004.9</v>
      </c>
    </row>
    <row r="19" spans="2:10" x14ac:dyDescent="0.2">
      <c r="B19" s="243" t="s">
        <v>175</v>
      </c>
      <c r="C19" s="306">
        <f>+Croma!C15</f>
        <v>0.49299999999999999</v>
      </c>
      <c r="D19" s="247">
        <v>99</v>
      </c>
      <c r="E19" s="244">
        <f t="shared" si="0"/>
        <v>4.9300000000000047E-3</v>
      </c>
      <c r="F19" s="245">
        <f t="shared" si="1"/>
        <v>5.0654636687067628E-3</v>
      </c>
      <c r="G19" s="246">
        <f>+Propiedades!K17</f>
        <v>29098.1</v>
      </c>
    </row>
    <row r="20" spans="2:10" x14ac:dyDescent="0.2">
      <c r="B20" s="243" t="s">
        <v>176</v>
      </c>
      <c r="C20" s="306">
        <f>+Croma!C16</f>
        <v>0.14699999999999999</v>
      </c>
      <c r="D20" s="247">
        <v>100</v>
      </c>
      <c r="E20" s="244">
        <f t="shared" si="0"/>
        <v>0</v>
      </c>
      <c r="F20" s="245">
        <f t="shared" si="1"/>
        <v>0</v>
      </c>
      <c r="G20" s="246">
        <f>+Propiedades!K19</f>
        <v>35685.1</v>
      </c>
    </row>
    <row r="21" spans="2:10" x14ac:dyDescent="0.2">
      <c r="B21" s="243" t="s">
        <v>177</v>
      </c>
      <c r="C21" s="306">
        <f>+Croma!C17</f>
        <v>0.189</v>
      </c>
      <c r="D21" s="247">
        <v>100</v>
      </c>
      <c r="E21" s="244">
        <f t="shared" si="0"/>
        <v>0</v>
      </c>
      <c r="F21" s="245">
        <f t="shared" si="1"/>
        <v>0</v>
      </c>
      <c r="G21" s="246">
        <f>+Propiedades!K20</f>
        <v>35756.800000000003</v>
      </c>
    </row>
    <row r="22" spans="2:10" x14ac:dyDescent="0.2">
      <c r="B22" s="243" t="s">
        <v>178</v>
      </c>
      <c r="C22" s="306">
        <f>+Croma!C18</f>
        <v>0.218</v>
      </c>
      <c r="D22" s="247">
        <v>100</v>
      </c>
      <c r="E22" s="244">
        <f t="shared" si="0"/>
        <v>0</v>
      </c>
      <c r="F22" s="245">
        <f t="shared" si="1"/>
        <v>0</v>
      </c>
      <c r="G22" s="246">
        <f>+Propiedades!K21</f>
        <v>42420.3</v>
      </c>
    </row>
    <row r="23" spans="2:10" x14ac:dyDescent="0.2">
      <c r="B23" s="243" t="s">
        <v>242</v>
      </c>
      <c r="C23" s="306">
        <f>+Croma!C19</f>
        <v>3.3000000000000002E-2</v>
      </c>
      <c r="D23" s="247">
        <v>100</v>
      </c>
      <c r="E23" s="244">
        <f t="shared" si="0"/>
        <v>0</v>
      </c>
      <c r="F23" s="245">
        <f t="shared" si="1"/>
        <v>0</v>
      </c>
      <c r="G23" s="246">
        <f>+Propiedades!K22</f>
        <v>49079</v>
      </c>
    </row>
    <row r="24" spans="2:10" x14ac:dyDescent="0.2">
      <c r="B24" s="243" t="s">
        <v>243</v>
      </c>
      <c r="C24" s="306">
        <f>+Croma!C20</f>
        <v>2.5000000000000001E-2</v>
      </c>
      <c r="D24" s="247">
        <v>100</v>
      </c>
      <c r="E24" s="244">
        <f t="shared" si="0"/>
        <v>0</v>
      </c>
      <c r="F24" s="245">
        <f t="shared" si="1"/>
        <v>0</v>
      </c>
      <c r="G24" s="246">
        <f>+Propiedades!K23</f>
        <v>55735.3</v>
      </c>
    </row>
    <row r="25" spans="2:10" x14ac:dyDescent="0.2">
      <c r="B25" s="338" t="s">
        <v>32</v>
      </c>
      <c r="C25" s="306">
        <f>+Croma!C21</f>
        <v>0</v>
      </c>
      <c r="D25" s="247">
        <v>0</v>
      </c>
      <c r="E25" s="244">
        <f t="shared" si="0"/>
        <v>0</v>
      </c>
      <c r="F25" s="245">
        <f t="shared" si="1"/>
        <v>0</v>
      </c>
      <c r="G25" s="246">
        <f>+Propiedades!K28</f>
        <v>5681.5</v>
      </c>
    </row>
    <row r="26" spans="2:10" x14ac:dyDescent="0.2">
      <c r="B26" s="248" t="s">
        <v>36</v>
      </c>
      <c r="C26" s="249">
        <f>SUM(C13:C24)</f>
        <v>100</v>
      </c>
      <c r="D26" s="307"/>
      <c r="E26" s="250">
        <f>SUM(E13:E24)</f>
        <v>97.325739999999996</v>
      </c>
      <c r="F26" s="251">
        <f>SUM(F13:F24)</f>
        <v>99.999999999999986</v>
      </c>
      <c r="G26" s="252">
        <f>(F13*G13+F14*G14+F15*G15+F16*G16+F17*G17+F18*G18+F19*G19+F20*G20+F21*G21+F22*G22+F23*G23+F24*G24)/(1-((F13*Propiedades!W26+F14*Propiedades!W27+F15*Propiedades!W13+F16*Propiedades!W14+F17*Propiedades!W15+F18*Propiedades!W16+F19*Propiedades!W17+F20*Propiedades!W19+F21*Propiedades!W20+F22*Propiedades!W21+'RecC3+'!F23*Propiedades!W22+'RecC3+'!F24*Propiedades!W23)/100)^2)/100</f>
        <v>9116.3078940378837</v>
      </c>
    </row>
    <row r="29" spans="2:10" ht="15.75" x14ac:dyDescent="0.25">
      <c r="B29" s="237" t="s">
        <v>179</v>
      </c>
    </row>
    <row r="30" spans="2:10" x14ac:dyDescent="0.2">
      <c r="C30" s="303" t="s">
        <v>180</v>
      </c>
      <c r="D30" s="295" t="s">
        <v>181</v>
      </c>
      <c r="E30" s="303" t="s">
        <v>182</v>
      </c>
      <c r="F30" s="303" t="s">
        <v>183</v>
      </c>
      <c r="G30" s="303" t="s">
        <v>184</v>
      </c>
    </row>
    <row r="31" spans="2:10" x14ac:dyDescent="0.2">
      <c r="C31" s="232" t="s">
        <v>185</v>
      </c>
      <c r="D31" s="238" t="s">
        <v>186</v>
      </c>
      <c r="E31" s="239" t="s">
        <v>187</v>
      </c>
      <c r="F31" s="239" t="s">
        <v>188</v>
      </c>
      <c r="G31" s="253" t="s">
        <v>189</v>
      </c>
    </row>
    <row r="32" spans="2:10" x14ac:dyDescent="0.2">
      <c r="B32" s="305"/>
      <c r="C32" s="234" t="s">
        <v>169</v>
      </c>
      <c r="D32" s="241" t="s">
        <v>190</v>
      </c>
      <c r="E32" s="242" t="s">
        <v>191</v>
      </c>
      <c r="F32" s="242" t="s">
        <v>191</v>
      </c>
      <c r="G32" s="254" t="s">
        <v>192</v>
      </c>
      <c r="J32" s="255" t="s">
        <v>193</v>
      </c>
    </row>
    <row r="33" spans="2:10" x14ac:dyDescent="0.2">
      <c r="B33" s="243" t="s">
        <v>11</v>
      </c>
      <c r="C33" s="244">
        <f t="shared" ref="C33:C44" si="2">C13*D13/100</f>
        <v>0</v>
      </c>
      <c r="D33" s="256"/>
      <c r="E33" s="308"/>
      <c r="F33" s="308"/>
      <c r="G33" s="309"/>
    </row>
    <row r="34" spans="2:10" x14ac:dyDescent="0.2">
      <c r="B34" s="243" t="s">
        <v>21</v>
      </c>
      <c r="C34" s="244">
        <f t="shared" si="2"/>
        <v>0</v>
      </c>
      <c r="D34" s="256"/>
      <c r="E34" s="308"/>
      <c r="F34" s="308"/>
      <c r="G34" s="309"/>
      <c r="J34" s="121" t="s">
        <v>194</v>
      </c>
    </row>
    <row r="35" spans="2:10" x14ac:dyDescent="0.2">
      <c r="B35" s="243" t="s">
        <v>171</v>
      </c>
      <c r="C35" s="244">
        <f t="shared" si="2"/>
        <v>0</v>
      </c>
      <c r="D35" s="256"/>
      <c r="E35" s="308"/>
      <c r="F35" s="308"/>
      <c r="G35" s="309"/>
      <c r="J35" s="310">
        <f>+C45/100</f>
        <v>2.6742599999999998E-2</v>
      </c>
    </row>
    <row r="36" spans="2:10" x14ac:dyDescent="0.2">
      <c r="B36" s="243" t="s">
        <v>172</v>
      </c>
      <c r="C36" s="244">
        <f t="shared" si="2"/>
        <v>0</v>
      </c>
      <c r="E36" s="308"/>
      <c r="F36" s="308"/>
      <c r="G36" s="309"/>
    </row>
    <row r="37" spans="2:10" x14ac:dyDescent="0.2">
      <c r="B37" s="243" t="s">
        <v>173</v>
      </c>
      <c r="C37" s="244">
        <f t="shared" si="2"/>
        <v>1.3851</v>
      </c>
      <c r="D37" s="256">
        <f>ROUND(Propiedades!F15/Propiedades!V15,5)</f>
        <v>1.89889</v>
      </c>
      <c r="E37" s="244">
        <f>C37*D37</f>
        <v>2.630152539</v>
      </c>
      <c r="F37" s="308"/>
      <c r="G37" s="309"/>
      <c r="J37" s="121" t="s">
        <v>195</v>
      </c>
    </row>
    <row r="38" spans="2:10" x14ac:dyDescent="0.2">
      <c r="B38" s="243" t="s">
        <v>174</v>
      </c>
      <c r="C38" s="244">
        <f t="shared" si="2"/>
        <v>0.18908999999999998</v>
      </c>
      <c r="D38" s="256">
        <f>ROUND(Propiedades!F16/Propiedades!V16,5)</f>
        <v>2.5394600000000001</v>
      </c>
      <c r="E38" s="244"/>
      <c r="F38" s="244">
        <f>C38*D38</f>
        <v>0.48018649139999997</v>
      </c>
      <c r="G38" s="257"/>
      <c r="J38" s="310">
        <f>+(G52-G54)/G52</f>
        <v>7.8467582202868022E-2</v>
      </c>
    </row>
    <row r="39" spans="2:10" x14ac:dyDescent="0.2">
      <c r="B39" s="243" t="s">
        <v>175</v>
      </c>
      <c r="C39" s="244">
        <f t="shared" si="2"/>
        <v>0.48807</v>
      </c>
      <c r="D39" s="256">
        <f>ROUND(Propiedades!F17/Propiedades!V17,5)</f>
        <v>2.5473599999999998</v>
      </c>
      <c r="E39" s="244"/>
      <c r="F39" s="244">
        <f>C39*D39</f>
        <v>1.2432899951999998</v>
      </c>
      <c r="G39" s="257"/>
    </row>
    <row r="40" spans="2:10" x14ac:dyDescent="0.2">
      <c r="B40" s="243" t="s">
        <v>176</v>
      </c>
      <c r="C40" s="244">
        <f t="shared" si="2"/>
        <v>0.14699999999999999</v>
      </c>
      <c r="D40" s="258">
        <f>ROUND(Propiedades!H19*Propiedades!V19,3)</f>
        <v>193.97</v>
      </c>
      <c r="E40" s="308"/>
      <c r="F40" s="308"/>
      <c r="G40" s="257">
        <f>C40/D40*1000</f>
        <v>0.7578491519307109</v>
      </c>
    </row>
    <row r="41" spans="2:10" x14ac:dyDescent="0.2">
      <c r="B41" s="243" t="s">
        <v>177</v>
      </c>
      <c r="C41" s="244">
        <f t="shared" si="2"/>
        <v>0.18899999999999997</v>
      </c>
      <c r="D41" s="258">
        <f>ROUND(Propiedades!H20*Propiedades!V20,3)</f>
        <v>193.762</v>
      </c>
      <c r="E41" s="308"/>
      <c r="F41" s="308"/>
      <c r="G41" s="257">
        <f>C41/D41*1000</f>
        <v>0.97542345764391358</v>
      </c>
    </row>
    <row r="42" spans="2:10" x14ac:dyDescent="0.2">
      <c r="B42" s="243" t="s">
        <v>178</v>
      </c>
      <c r="C42" s="244">
        <f t="shared" si="2"/>
        <v>0.218</v>
      </c>
      <c r="D42" s="258">
        <f>ROUND(Propiedades!H21*Propiedades!V21,3)</f>
        <v>166.303</v>
      </c>
      <c r="E42" s="308"/>
      <c r="F42" s="308"/>
      <c r="G42" s="257">
        <f>C42/D42*1000</f>
        <v>1.3108602971684213</v>
      </c>
    </row>
    <row r="43" spans="2:10" x14ac:dyDescent="0.2">
      <c r="B43" s="243" t="s">
        <v>242</v>
      </c>
      <c r="C43" s="244">
        <f t="shared" si="2"/>
        <v>3.3000000000000002E-2</v>
      </c>
      <c r="D43" s="258">
        <f>ROUND(Propiedades!H22*Propiedades!V22,3)</f>
        <v>140.55199999999999</v>
      </c>
      <c r="E43" s="308"/>
      <c r="F43" s="308"/>
      <c r="G43" s="257">
        <f>C43/D43*1000</f>
        <v>0.2347885480107007</v>
      </c>
    </row>
    <row r="44" spans="2:10" x14ac:dyDescent="0.2">
      <c r="B44" s="243" t="s">
        <v>243</v>
      </c>
      <c r="C44" s="244">
        <f t="shared" si="2"/>
        <v>2.5000000000000001E-2</v>
      </c>
      <c r="D44" s="258">
        <f>ROUND(Propiedades!H23*Propiedades!V23,3)</f>
        <v>117.29300000000001</v>
      </c>
      <c r="E44" s="308"/>
      <c r="F44" s="308"/>
      <c r="G44" s="257">
        <f>C44/D44*1000</f>
        <v>0.21314144919134134</v>
      </c>
    </row>
    <row r="45" spans="2:10" x14ac:dyDescent="0.2">
      <c r="B45" s="248" t="s">
        <v>36</v>
      </c>
      <c r="C45" s="251">
        <f>SUM(C33:C44)</f>
        <v>2.6742599999999999</v>
      </c>
      <c r="D45" s="307"/>
      <c r="E45" s="250">
        <f>SUM(E33:E44)</f>
        <v>2.630152539</v>
      </c>
      <c r="F45" s="250">
        <f>SUM(F33:F44)</f>
        <v>1.7234764865999999</v>
      </c>
      <c r="G45" s="250">
        <f>SUM(G33:G44)</f>
        <v>3.4920629039450879</v>
      </c>
    </row>
    <row r="48" spans="2:10" ht="15.75" x14ac:dyDescent="0.25">
      <c r="B48" s="237" t="s">
        <v>196</v>
      </c>
      <c r="H48" s="237"/>
    </row>
    <row r="49" spans="3:10" x14ac:dyDescent="0.2">
      <c r="E49" s="303" t="s">
        <v>197</v>
      </c>
      <c r="F49" s="303" t="s">
        <v>198</v>
      </c>
      <c r="G49" s="303" t="s">
        <v>199</v>
      </c>
    </row>
    <row r="50" spans="3:10" x14ac:dyDescent="0.2">
      <c r="C50" s="230" t="s">
        <v>200</v>
      </c>
      <c r="D50" s="232" t="s">
        <v>201</v>
      </c>
      <c r="E50" s="233" t="s">
        <v>202</v>
      </c>
      <c r="F50" s="232" t="s">
        <v>203</v>
      </c>
      <c r="G50" s="239" t="s">
        <v>204</v>
      </c>
    </row>
    <row r="51" spans="3:10" x14ac:dyDescent="0.2">
      <c r="C51" s="297"/>
      <c r="D51" s="311"/>
      <c r="E51" s="298"/>
      <c r="F51" s="259" t="s">
        <v>205</v>
      </c>
      <c r="G51" s="260" t="s">
        <v>206</v>
      </c>
    </row>
    <row r="52" spans="3:10" x14ac:dyDescent="0.2">
      <c r="C52" s="243" t="s">
        <v>207</v>
      </c>
      <c r="D52" s="261" t="s">
        <v>156</v>
      </c>
      <c r="E52" s="262">
        <f>F6</f>
        <v>1000000</v>
      </c>
      <c r="F52" s="263">
        <f>G6</f>
        <v>9628</v>
      </c>
      <c r="G52" s="264">
        <f>E52*F52/9300</f>
        <v>1035268.8172043011</v>
      </c>
    </row>
    <row r="53" spans="3:10" x14ac:dyDescent="0.2">
      <c r="C53" s="328">
        <v>0</v>
      </c>
      <c r="D53" s="261" t="s">
        <v>156</v>
      </c>
      <c r="E53" s="265">
        <f>+F6*C53</f>
        <v>0</v>
      </c>
      <c r="F53" s="246">
        <f>+G6</f>
        <v>9628</v>
      </c>
      <c r="G53" s="264">
        <f>E53*F53/9300</f>
        <v>0</v>
      </c>
    </row>
    <row r="54" spans="3:10" x14ac:dyDescent="0.2">
      <c r="C54" s="243" t="s">
        <v>166</v>
      </c>
      <c r="D54" s="261" t="s">
        <v>156</v>
      </c>
      <c r="E54" s="262">
        <f>(F6-E53)*$E$26/100</f>
        <v>973257.4</v>
      </c>
      <c r="F54" s="266">
        <f>G26</f>
        <v>9116.3078940378837</v>
      </c>
      <c r="G54" s="264">
        <f>E54*F54/9300</f>
        <v>954033.77618825668</v>
      </c>
    </row>
    <row r="55" spans="3:10" x14ac:dyDescent="0.2">
      <c r="C55" s="267" t="s">
        <v>187</v>
      </c>
      <c r="D55" s="261" t="s">
        <v>208</v>
      </c>
      <c r="E55" s="262">
        <f>F6*$E$45/100</f>
        <v>26301.525389999999</v>
      </c>
      <c r="F55" s="246">
        <f>+Propiedades!M15</f>
        <v>12034.4</v>
      </c>
      <c r="G55" s="264">
        <f>E55*F55/9300</f>
        <v>34034.739478861935</v>
      </c>
    </row>
    <row r="56" spans="3:10" x14ac:dyDescent="0.2">
      <c r="C56" s="268" t="s">
        <v>209</v>
      </c>
      <c r="D56" s="269" t="s">
        <v>208</v>
      </c>
      <c r="E56" s="270">
        <f>F6*$F$38/100</f>
        <v>4801.8649139999998</v>
      </c>
      <c r="F56" s="271">
        <f>+Propiedades!M16</f>
        <v>11800.3</v>
      </c>
      <c r="G56" s="272">
        <f t="shared" ref="G56:G64" si="3">F56*E56/9300</f>
        <v>6092.843714481096</v>
      </c>
    </row>
    <row r="57" spans="3:10" x14ac:dyDescent="0.2">
      <c r="C57" s="273" t="s">
        <v>210</v>
      </c>
      <c r="D57" s="269" t="s">
        <v>208</v>
      </c>
      <c r="E57" s="270">
        <f>F6*$F$39/100</f>
        <v>12432.899951999998</v>
      </c>
      <c r="F57" s="271">
        <f>+Propiedades!M17</f>
        <v>11838.5</v>
      </c>
      <c r="G57" s="272">
        <f t="shared" si="3"/>
        <v>15826.546890510965</v>
      </c>
    </row>
    <row r="58" spans="3:10" x14ac:dyDescent="0.2">
      <c r="C58" s="267" t="s">
        <v>188</v>
      </c>
      <c r="D58" s="261" t="s">
        <v>208</v>
      </c>
      <c r="E58" s="262">
        <f>F6*$F$45/100</f>
        <v>17234.764865999998</v>
      </c>
      <c r="F58" s="246">
        <f>IF(F38+F39=0,(Croma!R17*F56+Croma!R18*F57)/(Croma!R17+Croma!R18),(F38*F56+F39*F57)/(F38+F39))</f>
        <v>11827.856905003289</v>
      </c>
      <c r="G58" s="264">
        <f t="shared" si="3"/>
        <v>21919.390604992059</v>
      </c>
      <c r="H58" t="str">
        <f>+IF(G58-G56-G57&gt;1,G57+G56,"")</f>
        <v/>
      </c>
    </row>
    <row r="59" spans="3:10" x14ac:dyDescent="0.2">
      <c r="C59" s="268" t="s">
        <v>211</v>
      </c>
      <c r="D59" s="269" t="s">
        <v>212</v>
      </c>
      <c r="E59" s="270">
        <f>+F6*$G$40/100</f>
        <v>7578.4915193071092</v>
      </c>
      <c r="F59" s="271">
        <f>Propiedades!V43/Propiedades!$G$6</f>
        <v>7248.8352646039893</v>
      </c>
      <c r="G59" s="272">
        <f t="shared" si="3"/>
        <v>5907.0146857694235</v>
      </c>
    </row>
    <row r="60" spans="3:10" x14ac:dyDescent="0.2">
      <c r="C60" s="268" t="s">
        <v>213</v>
      </c>
      <c r="D60" s="269" t="s">
        <v>212</v>
      </c>
      <c r="E60" s="270">
        <f>+F6*$G$41/100</f>
        <v>9754.2345764391357</v>
      </c>
      <c r="F60" s="271">
        <f>Propiedades!V44/Propiedades!$G$6</f>
        <v>7337.2356946601358</v>
      </c>
      <c r="G60" s="272">
        <f t="shared" si="3"/>
        <v>7695.604097670679</v>
      </c>
    </row>
    <row r="61" spans="3:10" x14ac:dyDescent="0.2">
      <c r="C61" s="289" t="s">
        <v>244</v>
      </c>
      <c r="D61" s="269" t="s">
        <v>212</v>
      </c>
      <c r="E61" s="270">
        <f>+F6*$G$42/100</f>
        <v>13108.602971684213</v>
      </c>
      <c r="F61" s="271">
        <f>Propiedades!V45/Propiedades!$G$6</f>
        <v>7667.9010870863694</v>
      </c>
      <c r="G61" s="272">
        <f t="shared" si="3"/>
        <v>10808.115158791503</v>
      </c>
    </row>
    <row r="62" spans="3:10" x14ac:dyDescent="0.2">
      <c r="C62" s="289" t="s">
        <v>245</v>
      </c>
      <c r="D62" s="269" t="s">
        <v>212</v>
      </c>
      <c r="E62" s="270">
        <f>+F6*$G$43/100</f>
        <v>2347.885480107007</v>
      </c>
      <c r="F62" s="271">
        <f>Propiedades!V46/Propiedades!$G$6</f>
        <v>7905.1487277505666</v>
      </c>
      <c r="G62" s="272">
        <f t="shared" si="3"/>
        <v>1995.7402060184877</v>
      </c>
    </row>
    <row r="63" spans="3:10" x14ac:dyDescent="0.2">
      <c r="C63" s="289" t="s">
        <v>246</v>
      </c>
      <c r="D63" s="269" t="s">
        <v>212</v>
      </c>
      <c r="E63" s="270">
        <f>+F6*$G$44/100</f>
        <v>2131.4144919134137</v>
      </c>
      <c r="F63" s="271">
        <f>Propiedades!V47/Propiedades!$G$6</f>
        <v>8089.117190299844</v>
      </c>
      <c r="G63" s="272">
        <f t="shared" si="3"/>
        <v>1853.8990974398926</v>
      </c>
    </row>
    <row r="64" spans="3:10" x14ac:dyDescent="0.2">
      <c r="C64" s="274" t="s">
        <v>189</v>
      </c>
      <c r="D64" s="234" t="s">
        <v>212</v>
      </c>
      <c r="E64" s="275">
        <f>F6*$G$45/100</f>
        <v>34920.629039450876</v>
      </c>
      <c r="F64" s="291">
        <f>(G40*F59+G41*F60+G42*F61+G43*F62+G44*F63)/(G40+G41+G42+G43+G44)</f>
        <v>7526.2524878346148</v>
      </c>
      <c r="G64" s="276">
        <f t="shared" si="3"/>
        <v>28260.373245689985</v>
      </c>
      <c r="H64" s="312" t="str">
        <f>+IF(ABS(G64-G59-G60-G61-G62-G63)&gt;1,G63+G62+G61+G60+G59,"")</f>
        <v/>
      </c>
      <c r="J64" s="312"/>
    </row>
    <row r="65" spans="2:17" x14ac:dyDescent="0.2">
      <c r="F65" s="334" t="s">
        <v>214</v>
      </c>
      <c r="G65" s="335">
        <f>-G52+G53+G54+G55+G58+G64</f>
        <v>2979.4623134995345</v>
      </c>
    </row>
    <row r="66" spans="2:17" x14ac:dyDescent="0.2">
      <c r="J66" t="s">
        <v>215</v>
      </c>
      <c r="L66" s="167" t="s">
        <v>216</v>
      </c>
      <c r="M66" s="20" t="s">
        <v>217</v>
      </c>
      <c r="N66" s="313" t="s">
        <v>218</v>
      </c>
      <c r="P66" s="20"/>
    </row>
    <row r="67" spans="2:17" x14ac:dyDescent="0.2">
      <c r="J67" t="s">
        <v>219</v>
      </c>
      <c r="K67" s="345">
        <f>+'RecC5+'!K65</f>
        <v>3</v>
      </c>
      <c r="L67" s="346">
        <f>+'RecC5+'!L65</f>
        <v>65</v>
      </c>
      <c r="M67" s="348">
        <v>450</v>
      </c>
      <c r="N67" s="348"/>
    </row>
    <row r="68" spans="2:17" ht="15.75" x14ac:dyDescent="0.25">
      <c r="B68" s="237" t="s">
        <v>220</v>
      </c>
      <c r="H68" s="237"/>
      <c r="J68" s="37" t="s">
        <v>221</v>
      </c>
      <c r="N68" s="20"/>
    </row>
    <row r="69" spans="2:17" x14ac:dyDescent="0.2">
      <c r="E69" s="303" t="s">
        <v>222</v>
      </c>
      <c r="F69" s="303" t="s">
        <v>223</v>
      </c>
      <c r="G69" s="303" t="s">
        <v>224</v>
      </c>
      <c r="J69" t="s">
        <v>225</v>
      </c>
      <c r="K69" s="332">
        <f>1+G85/(G72-G74)</f>
        <v>3.766800164352027</v>
      </c>
      <c r="L69" s="314">
        <f>+K69*K67</f>
        <v>11.300400493056081</v>
      </c>
      <c r="N69" s="333"/>
    </row>
    <row r="70" spans="2:17" x14ac:dyDescent="0.2">
      <c r="C70" s="230" t="s">
        <v>200</v>
      </c>
      <c r="D70" s="232" t="s">
        <v>201</v>
      </c>
      <c r="E70" s="233" t="s">
        <v>202</v>
      </c>
      <c r="F70" s="232" t="s">
        <v>226</v>
      </c>
      <c r="G70" s="239" t="s">
        <v>227</v>
      </c>
    </row>
    <row r="71" spans="2:17" x14ac:dyDescent="0.2">
      <c r="C71" s="297"/>
      <c r="D71" s="311"/>
      <c r="E71" s="298"/>
      <c r="F71" s="277" t="s">
        <v>228</v>
      </c>
      <c r="G71" s="278" t="s">
        <v>229</v>
      </c>
      <c r="J71" s="33" t="s">
        <v>226</v>
      </c>
      <c r="K71" s="33"/>
      <c r="L71" s="288"/>
    </row>
    <row r="72" spans="2:17" x14ac:dyDescent="0.2">
      <c r="C72" s="243" t="s">
        <v>207</v>
      </c>
      <c r="D72" s="261" t="s">
        <v>230</v>
      </c>
      <c r="E72" s="279">
        <f>G52/1000</f>
        <v>1035.2688172043011</v>
      </c>
      <c r="F72" s="315">
        <f>K67*36.8939</f>
        <v>110.68170000000001</v>
      </c>
      <c r="G72" s="280">
        <f>E72*F72</f>
        <v>114585.31264516129</v>
      </c>
      <c r="J72" s="316" t="s">
        <v>231</v>
      </c>
      <c r="K72" s="316"/>
      <c r="L72" s="317" t="s">
        <v>232</v>
      </c>
      <c r="M72" s="33"/>
    </row>
    <row r="73" spans="2:17" ht="14.25" x14ac:dyDescent="0.2">
      <c r="C73" s="281">
        <f>+C53</f>
        <v>0</v>
      </c>
      <c r="D73" s="261" t="s">
        <v>230</v>
      </c>
      <c r="E73" s="279">
        <f>+G53/1000</f>
        <v>0</v>
      </c>
      <c r="F73" s="315">
        <f>+F72</f>
        <v>110.68170000000001</v>
      </c>
      <c r="G73" s="280">
        <f>-E73*F73</f>
        <v>0</v>
      </c>
      <c r="J73" s="318" t="s">
        <v>233</v>
      </c>
      <c r="K73" s="319" t="s">
        <v>234</v>
      </c>
      <c r="L73" s="318" t="s">
        <v>234</v>
      </c>
      <c r="M73" t="s">
        <v>219</v>
      </c>
    </row>
    <row r="74" spans="2:17" x14ac:dyDescent="0.2">
      <c r="C74" s="243" t="s">
        <v>166</v>
      </c>
      <c r="D74" s="261" t="s">
        <v>230</v>
      </c>
      <c r="E74" s="279">
        <f>G54/1000</f>
        <v>954.03377618825664</v>
      </c>
      <c r="F74" s="315">
        <f>+F72</f>
        <v>110.68170000000001</v>
      </c>
      <c r="G74" s="280">
        <f t="shared" ref="G74:G84" si="4">E74*F74</f>
        <v>105594.08020593577</v>
      </c>
    </row>
    <row r="75" spans="2:17" x14ac:dyDescent="0.2">
      <c r="C75" s="243" t="s">
        <v>187</v>
      </c>
      <c r="D75" s="261" t="s">
        <v>235</v>
      </c>
      <c r="E75" s="279">
        <f t="shared" ref="E75:E84" si="5">E55/1000</f>
        <v>26.301525389999998</v>
      </c>
      <c r="F75" s="329">
        <f>+L75</f>
        <v>450</v>
      </c>
      <c r="G75" s="280">
        <f t="shared" si="4"/>
        <v>11835.6864255</v>
      </c>
      <c r="J75" s="314">
        <f t="shared" ref="J75:J84" si="6">+G75/G55*1000</f>
        <v>347.75310775776109</v>
      </c>
      <c r="K75" s="314">
        <f t="shared" ref="K75:K84" si="7">+F55/9300*$F$72</f>
        <v>143.22450005161289</v>
      </c>
      <c r="L75" s="320">
        <f>+(M67-N67)</f>
        <v>450</v>
      </c>
      <c r="M75" s="321">
        <f t="shared" ref="M75:M84" si="8">+F75/K75*$K$67</f>
        <v>9.4257616505102781</v>
      </c>
      <c r="O75" s="321"/>
      <c r="Q75" s="322"/>
    </row>
    <row r="76" spans="2:17" x14ac:dyDescent="0.2">
      <c r="C76" s="268" t="s">
        <v>209</v>
      </c>
      <c r="D76" s="269" t="s">
        <v>235</v>
      </c>
      <c r="E76" s="282">
        <f t="shared" si="5"/>
        <v>4.8018649139999994</v>
      </c>
      <c r="F76" s="323">
        <f>+F78</f>
        <v>450</v>
      </c>
      <c r="G76" s="283">
        <f t="shared" si="4"/>
        <v>2160.8392112999995</v>
      </c>
      <c r="J76" s="314">
        <f t="shared" si="6"/>
        <v>354.65200037287184</v>
      </c>
      <c r="K76" s="314">
        <f t="shared" si="7"/>
        <v>140.43841553870968</v>
      </c>
      <c r="L76" s="320">
        <f>+L78</f>
        <v>450</v>
      </c>
      <c r="M76" s="321">
        <f t="shared" si="8"/>
        <v>9.6127544220825634</v>
      </c>
      <c r="O76" s="321"/>
      <c r="Q76" s="322"/>
    </row>
    <row r="77" spans="2:17" x14ac:dyDescent="0.2">
      <c r="C77" s="268" t="s">
        <v>210</v>
      </c>
      <c r="D77" s="269" t="s">
        <v>235</v>
      </c>
      <c r="E77" s="282">
        <f t="shared" si="5"/>
        <v>12.432899951999998</v>
      </c>
      <c r="F77" s="323">
        <f>+F78</f>
        <v>450</v>
      </c>
      <c r="G77" s="283">
        <f t="shared" si="4"/>
        <v>5594.8049783999986</v>
      </c>
      <c r="J77" s="314">
        <f t="shared" si="6"/>
        <v>353.50762343202263</v>
      </c>
      <c r="K77" s="314">
        <f t="shared" si="7"/>
        <v>140.89304359677419</v>
      </c>
      <c r="L77" s="320">
        <f>+L78</f>
        <v>450</v>
      </c>
      <c r="M77" s="321">
        <f t="shared" si="8"/>
        <v>9.5817363692106987</v>
      </c>
      <c r="O77" s="321"/>
      <c r="Q77" s="322"/>
    </row>
    <row r="78" spans="2:17" x14ac:dyDescent="0.2">
      <c r="C78" s="243" t="s">
        <v>188</v>
      </c>
      <c r="D78" s="261" t="s">
        <v>235</v>
      </c>
      <c r="E78" s="279">
        <f t="shared" si="5"/>
        <v>17.234764865999999</v>
      </c>
      <c r="F78" s="329">
        <f>+L78</f>
        <v>450</v>
      </c>
      <c r="G78" s="280">
        <f t="shared" si="4"/>
        <v>7755.6441896999995</v>
      </c>
      <c r="H78" t="str">
        <f>+IF(G78-G76-G77&gt;1,G77+G76,"")</f>
        <v/>
      </c>
      <c r="J78" s="314">
        <f t="shared" si="6"/>
        <v>353.82572122847614</v>
      </c>
      <c r="K78" s="314">
        <f t="shared" si="7"/>
        <v>140.76637737661318</v>
      </c>
      <c r="L78" s="320">
        <f>+(M67-N67)</f>
        <v>450</v>
      </c>
      <c r="M78" s="321">
        <f t="shared" si="8"/>
        <v>9.5903583310107123</v>
      </c>
      <c r="O78" s="321"/>
      <c r="Q78" s="322"/>
    </row>
    <row r="79" spans="2:17" x14ac:dyDescent="0.2">
      <c r="C79" s="268" t="s">
        <v>211</v>
      </c>
      <c r="D79" s="269" t="s">
        <v>236</v>
      </c>
      <c r="E79" s="282">
        <f t="shared" si="5"/>
        <v>7.578491519307109</v>
      </c>
      <c r="F79" s="323">
        <f>+F84</f>
        <v>408.83699999999999</v>
      </c>
      <c r="G79" s="283">
        <f t="shared" si="4"/>
        <v>3098.3677372789602</v>
      </c>
      <c r="J79" s="314">
        <f t="shared" si="6"/>
        <v>524.52345255603166</v>
      </c>
      <c r="K79" s="314">
        <f t="shared" si="7"/>
        <v>86.270259151217147</v>
      </c>
      <c r="L79" s="320">
        <f>+L84</f>
        <v>408.83699999999999</v>
      </c>
      <c r="M79" s="321">
        <f t="shared" si="8"/>
        <v>14.217077960205661</v>
      </c>
      <c r="N79" s="321"/>
      <c r="O79" s="321"/>
      <c r="Q79" s="322"/>
    </row>
    <row r="80" spans="2:17" x14ac:dyDescent="0.2">
      <c r="C80" s="268" t="s">
        <v>213</v>
      </c>
      <c r="D80" s="269" t="s">
        <v>236</v>
      </c>
      <c r="E80" s="282">
        <f t="shared" si="5"/>
        <v>9.7542345764391349</v>
      </c>
      <c r="F80" s="323">
        <f>+F84</f>
        <v>408.83699999999999</v>
      </c>
      <c r="G80" s="283">
        <f t="shared" si="4"/>
        <v>3987.8920015276467</v>
      </c>
      <c r="J80" s="314">
        <f t="shared" si="6"/>
        <v>518.20389288668184</v>
      </c>
      <c r="K80" s="314">
        <f t="shared" si="7"/>
        <v>87.322335482329549</v>
      </c>
      <c r="L80" s="320">
        <f>+L84</f>
        <v>408.83699999999999</v>
      </c>
      <c r="M80" s="321">
        <f t="shared" si="8"/>
        <v>14.045787864299569</v>
      </c>
      <c r="N80" s="321"/>
      <c r="O80" s="321"/>
      <c r="Q80" s="322"/>
    </row>
    <row r="81" spans="2:17" x14ac:dyDescent="0.2">
      <c r="C81" s="289" t="s">
        <v>244</v>
      </c>
      <c r="D81" s="269" t="s">
        <v>236</v>
      </c>
      <c r="E81" s="282">
        <f t="shared" si="5"/>
        <v>13.108602971684213</v>
      </c>
      <c r="F81" s="323">
        <f>+F84</f>
        <v>408.83699999999999</v>
      </c>
      <c r="G81" s="283">
        <f t="shared" si="4"/>
        <v>5359.2819131344586</v>
      </c>
      <c r="J81" s="314">
        <f t="shared" si="6"/>
        <v>495.85721787717341</v>
      </c>
      <c r="K81" s="314">
        <f t="shared" si="7"/>
        <v>91.257669650598658</v>
      </c>
      <c r="L81" s="320">
        <f>+L84</f>
        <v>408.83699999999999</v>
      </c>
      <c r="M81" s="321">
        <f t="shared" si="8"/>
        <v>13.440086786085864</v>
      </c>
      <c r="N81" s="321"/>
      <c r="O81" s="321"/>
      <c r="Q81" s="322"/>
    </row>
    <row r="82" spans="2:17" x14ac:dyDescent="0.2">
      <c r="C82" s="289" t="s">
        <v>245</v>
      </c>
      <c r="D82" s="269" t="s">
        <v>236</v>
      </c>
      <c r="E82" s="282">
        <f t="shared" si="5"/>
        <v>2.3478854801070068</v>
      </c>
      <c r="F82" s="323">
        <f>+F84</f>
        <v>408.83699999999999</v>
      </c>
      <c r="G82" s="283">
        <f t="shared" si="4"/>
        <v>959.90245603050835</v>
      </c>
      <c r="J82" s="314">
        <f t="shared" si="6"/>
        <v>480.97565661891377</v>
      </c>
      <c r="K82" s="314">
        <f t="shared" si="7"/>
        <v>94.081215047340848</v>
      </c>
      <c r="L82" s="320">
        <f>+L84</f>
        <v>408.83699999999999</v>
      </c>
      <c r="M82" s="321">
        <f>+F82/K82*$K$67</f>
        <v>13.036725762766036</v>
      </c>
      <c r="N82" s="321"/>
      <c r="O82" s="321"/>
      <c r="Q82" s="322"/>
    </row>
    <row r="83" spans="2:17" x14ac:dyDescent="0.2">
      <c r="C83" s="289" t="s">
        <v>246</v>
      </c>
      <c r="D83" s="269" t="s">
        <v>236</v>
      </c>
      <c r="E83" s="282">
        <f t="shared" si="5"/>
        <v>2.1314144919134139</v>
      </c>
      <c r="F83" s="323">
        <f>+F84</f>
        <v>408.83699999999999</v>
      </c>
      <c r="G83" s="283">
        <f t="shared" si="4"/>
        <v>871.40110663040434</v>
      </c>
      <c r="J83" s="314">
        <f t="shared" si="6"/>
        <v>470.03696578403293</v>
      </c>
      <c r="K83" s="314">
        <f t="shared" si="7"/>
        <v>96.270671195872069</v>
      </c>
      <c r="L83" s="320">
        <f>+L84</f>
        <v>408.83699999999999</v>
      </c>
      <c r="M83" s="321">
        <f>+F83/K83*$K$67</f>
        <v>12.740235263391316</v>
      </c>
      <c r="N83" s="321"/>
      <c r="O83" s="321"/>
      <c r="Q83" s="322"/>
    </row>
    <row r="84" spans="2:17" x14ac:dyDescent="0.2">
      <c r="C84" s="274" t="s">
        <v>189</v>
      </c>
      <c r="D84" s="234" t="s">
        <v>236</v>
      </c>
      <c r="E84" s="284">
        <f t="shared" si="5"/>
        <v>34.920629039450873</v>
      </c>
      <c r="F84" s="330">
        <f>+L84</f>
        <v>408.83699999999999</v>
      </c>
      <c r="G84" s="285">
        <f t="shared" si="4"/>
        <v>14276.845214601975</v>
      </c>
      <c r="H84" t="str">
        <f>+IF(ABS(G84-G79-G80-G81-G82-G83)&gt;1,G83+G82+G81+G80+G79,"")</f>
        <v/>
      </c>
      <c r="J84" s="314">
        <f t="shared" si="6"/>
        <v>505.18954900142199</v>
      </c>
      <c r="K84" s="314">
        <f t="shared" si="7"/>
        <v>89.571873116426289</v>
      </c>
      <c r="L84" s="320">
        <f>+L67*6.2898-(N67*0.7)</f>
        <v>408.83699999999999</v>
      </c>
      <c r="M84" s="321">
        <f t="shared" si="8"/>
        <v>13.693037304308355</v>
      </c>
      <c r="O84" s="321"/>
      <c r="Q84" s="322"/>
    </row>
    <row r="85" spans="2:17" x14ac:dyDescent="0.2">
      <c r="F85" s="286" t="s">
        <v>237</v>
      </c>
      <c r="G85" s="287">
        <f>SUM(G74:G84)-G72-G78-G84</f>
        <v>24876.94339057646</v>
      </c>
      <c r="I85" s="288"/>
      <c r="J85" s="324">
        <f>+(G75+G78+G84)/(G55+G58+G64)*1000</f>
        <v>402.16559488893171</v>
      </c>
      <c r="M85" s="325">
        <f>+J85/36.8939</f>
        <v>10.900598605431567</v>
      </c>
      <c r="O85" s="321"/>
    </row>
    <row r="87" spans="2:17" x14ac:dyDescent="0.2">
      <c r="G87" s="326"/>
    </row>
    <row r="88" spans="2:17" x14ac:dyDescent="0.2">
      <c r="B88" s="288" t="s">
        <v>238</v>
      </c>
      <c r="C88" s="288" t="s">
        <v>239</v>
      </c>
      <c r="H88" s="288"/>
    </row>
    <row r="89" spans="2:17" x14ac:dyDescent="0.2">
      <c r="C89" s="288" t="s">
        <v>240</v>
      </c>
    </row>
    <row r="90" spans="2:17" x14ac:dyDescent="0.2">
      <c r="C90" s="288" t="s">
        <v>241</v>
      </c>
    </row>
  </sheetData>
  <sheetProtection algorithmName="SHA-512" hashValue="iFo8vmlEmpu4t1gyTYkUD5HHTBr7QXhR+QfiCin3Q5MVuGM/3lhX+ORDbzObw8A73AQTBYznvP4V8gnvW2nI+w==" saltValue="jRKlwcJzshzbMnamxfzExg==" spinCount="100000" sheet="1" formatCells="0" formatColumns="0" formatRows="0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9"/>
  <sheetViews>
    <sheetView showGridLines="0" topLeftCell="C3" zoomScale="70" workbookViewId="0">
      <pane xSplit="2" ySplit="6" topLeftCell="E28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9.140625" defaultRowHeight="15.75" x14ac:dyDescent="0.25"/>
  <cols>
    <col min="1" max="1" width="1.7109375" style="1" customWidth="1"/>
    <col min="2" max="2" width="2.7109375" style="1" customWidth="1"/>
    <col min="3" max="3" width="15.7109375" style="1" customWidth="1"/>
    <col min="4" max="4" width="10.7109375" style="1" customWidth="1"/>
    <col min="5" max="5" width="15.7109375" style="1" customWidth="1"/>
    <col min="6" max="6" width="13.7109375" style="1" customWidth="1"/>
    <col min="7" max="7" width="12.7109375" style="1" customWidth="1"/>
    <col min="8" max="9" width="13.7109375" style="1" customWidth="1"/>
    <col min="10" max="23" width="10.7109375" style="1" customWidth="1"/>
    <col min="24" max="24" width="2.7109375" style="1" customWidth="1"/>
    <col min="25" max="25" width="2.28515625" style="1" customWidth="1"/>
    <col min="26" max="16384" width="9.140625" style="1"/>
  </cols>
  <sheetData>
    <row r="1" spans="1:24" ht="9.9499999999999993" customHeight="1" thickBot="1" x14ac:dyDescent="0.3"/>
    <row r="2" spans="1:24" ht="1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ht="20.100000000000001" customHeight="1" thickBot="1" x14ac:dyDescent="0.35">
      <c r="A3" s="22"/>
      <c r="B3" s="5"/>
      <c r="C3" s="6" t="s">
        <v>60</v>
      </c>
      <c r="D3" s="23"/>
      <c r="E3" s="23"/>
      <c r="F3" s="23"/>
      <c r="G3" s="23"/>
      <c r="H3" s="23"/>
      <c r="I3" s="24"/>
      <c r="K3" s="31" t="s">
        <v>61</v>
      </c>
      <c r="L3" s="158" t="s">
        <v>62</v>
      </c>
      <c r="P3" s="22"/>
      <c r="Q3" s="22"/>
      <c r="R3" s="22"/>
      <c r="S3" s="22"/>
      <c r="T3" s="22"/>
      <c r="U3" s="22"/>
      <c r="V3" s="22"/>
      <c r="W3" s="22"/>
      <c r="X3" s="7"/>
    </row>
    <row r="4" spans="1:24" ht="15" customHeight="1" x14ac:dyDescent="0.25">
      <c r="A4" s="22"/>
      <c r="B4" s="5"/>
      <c r="P4" s="22"/>
      <c r="Q4" s="22"/>
      <c r="R4" s="22"/>
      <c r="S4" s="22"/>
      <c r="T4" s="22"/>
      <c r="U4" s="22"/>
      <c r="V4" s="22"/>
      <c r="W4" s="22"/>
      <c r="X4" s="7"/>
    </row>
    <row r="5" spans="1:24" ht="15.75" customHeight="1" x14ac:dyDescent="0.25">
      <c r="A5" s="22"/>
      <c r="B5" s="5"/>
      <c r="C5" s="8" t="s">
        <v>63</v>
      </c>
      <c r="D5" s="43">
        <v>15</v>
      </c>
      <c r="E5" s="8" t="s">
        <v>64</v>
      </c>
      <c r="F5" s="8" t="s">
        <v>65</v>
      </c>
      <c r="G5" s="27">
        <v>8.3145100000000003</v>
      </c>
      <c r="H5" s="11" t="s">
        <v>66</v>
      </c>
      <c r="K5" s="9" t="s">
        <v>67</v>
      </c>
      <c r="L5" s="17">
        <f>ROUND($G$5*(273.15+$D$5)/$D$6,3)</f>
        <v>23.645</v>
      </c>
      <c r="M5" s="11" t="s">
        <v>68</v>
      </c>
      <c r="N5" s="8"/>
      <c r="O5" s="8"/>
      <c r="P5" s="22"/>
      <c r="Q5" s="22"/>
      <c r="R5" s="22"/>
      <c r="S5" s="22"/>
      <c r="T5" s="22"/>
      <c r="U5" s="22"/>
      <c r="V5" s="22"/>
      <c r="W5" s="22"/>
      <c r="X5" s="7"/>
    </row>
    <row r="6" spans="1:24" ht="15.75" customHeight="1" x14ac:dyDescent="0.35">
      <c r="A6" s="22"/>
      <c r="B6" s="5"/>
      <c r="C6" s="8" t="s">
        <v>69</v>
      </c>
      <c r="D6" s="26">
        <v>101.325</v>
      </c>
      <c r="E6" s="11" t="s">
        <v>70</v>
      </c>
      <c r="F6" s="8" t="s">
        <v>71</v>
      </c>
      <c r="G6" s="44">
        <v>4.1855000000000002</v>
      </c>
      <c r="H6" s="10" t="s">
        <v>72</v>
      </c>
      <c r="X6" s="7"/>
    </row>
    <row r="7" spans="1:24" ht="9.9499999999999993" customHeight="1" x14ac:dyDescent="0.25">
      <c r="A7" s="22"/>
      <c r="B7" s="5"/>
      <c r="C7" s="22"/>
      <c r="D7" s="22"/>
      <c r="E7" s="22"/>
      <c r="F7" s="22"/>
      <c r="G7" s="22"/>
      <c r="H7" s="22"/>
      <c r="I7" s="22"/>
      <c r="X7" s="7"/>
    </row>
    <row r="8" spans="1:24" ht="20.100000000000001" customHeight="1" x14ac:dyDescent="0.35">
      <c r="A8" s="22"/>
      <c r="B8" s="5"/>
      <c r="C8" s="109" t="s">
        <v>73</v>
      </c>
      <c r="D8" s="22"/>
      <c r="E8" s="22"/>
      <c r="F8" s="45" t="s">
        <v>74</v>
      </c>
      <c r="G8" s="11"/>
      <c r="H8" s="22"/>
      <c r="I8" s="22"/>
      <c r="X8" s="7"/>
    </row>
    <row r="9" spans="1:24" ht="9.9499999999999993" customHeight="1" x14ac:dyDescent="0.25">
      <c r="A9" s="22"/>
      <c r="B9" s="5"/>
      <c r="C9" s="22"/>
      <c r="D9" s="22"/>
      <c r="E9" s="22"/>
      <c r="F9" s="22"/>
      <c r="G9" s="22"/>
      <c r="H9" s="22"/>
      <c r="I9" s="22"/>
      <c r="X9" s="7"/>
    </row>
    <row r="10" spans="1:24" x14ac:dyDescent="0.25">
      <c r="A10" s="22"/>
      <c r="B10" s="5"/>
      <c r="E10" s="52" t="s">
        <v>75</v>
      </c>
      <c r="F10" s="60" t="s">
        <v>76</v>
      </c>
      <c r="G10" s="13"/>
      <c r="H10" s="63" t="s">
        <v>77</v>
      </c>
      <c r="I10" s="46" t="s">
        <v>76</v>
      </c>
      <c r="J10" s="60" t="s">
        <v>78</v>
      </c>
      <c r="K10" s="13"/>
      <c r="L10" s="33"/>
      <c r="M10" s="13"/>
      <c r="N10" s="13"/>
      <c r="O10" s="13"/>
      <c r="P10" s="60" t="s">
        <v>78</v>
      </c>
      <c r="Q10" s="13"/>
      <c r="R10" s="13"/>
      <c r="S10" s="13"/>
      <c r="T10" s="13"/>
      <c r="U10" s="13"/>
      <c r="V10" s="49"/>
      <c r="W10" s="12"/>
      <c r="X10" s="25"/>
    </row>
    <row r="11" spans="1:24" ht="15.75" customHeight="1" x14ac:dyDescent="0.25">
      <c r="A11" s="22"/>
      <c r="B11" s="5"/>
      <c r="C11" s="22"/>
      <c r="D11" s="22"/>
      <c r="E11" s="52" t="s">
        <v>79</v>
      </c>
      <c r="F11" s="49" t="s">
        <v>80</v>
      </c>
      <c r="G11" s="55" t="s">
        <v>81</v>
      </c>
      <c r="H11" s="63" t="s">
        <v>82</v>
      </c>
      <c r="I11" s="46" t="s">
        <v>83</v>
      </c>
      <c r="J11" s="60" t="s">
        <v>84</v>
      </c>
      <c r="K11" s="13"/>
      <c r="L11" s="13"/>
      <c r="M11" s="13"/>
      <c r="N11" s="13"/>
      <c r="O11" s="13"/>
      <c r="P11" s="60" t="s">
        <v>85</v>
      </c>
      <c r="Q11" s="13"/>
      <c r="R11" s="13"/>
      <c r="S11" s="13"/>
      <c r="T11" s="13"/>
      <c r="U11" s="13"/>
      <c r="V11" s="49" t="s">
        <v>86</v>
      </c>
      <c r="W11" s="49" t="s">
        <v>87</v>
      </c>
      <c r="X11" s="25"/>
    </row>
    <row r="12" spans="1:24" ht="15" customHeight="1" x14ac:dyDescent="0.25">
      <c r="A12" s="22"/>
      <c r="B12" s="5"/>
      <c r="E12" s="93" t="s">
        <v>88</v>
      </c>
      <c r="F12" s="94" t="s">
        <v>89</v>
      </c>
      <c r="G12" s="95"/>
      <c r="H12" s="96" t="s">
        <v>90</v>
      </c>
      <c r="I12" s="97" t="s">
        <v>89</v>
      </c>
      <c r="J12" s="94" t="s">
        <v>91</v>
      </c>
      <c r="K12" s="97" t="s">
        <v>92</v>
      </c>
      <c r="L12" s="96" t="s">
        <v>93</v>
      </c>
      <c r="M12" s="97" t="s">
        <v>94</v>
      </c>
      <c r="N12" s="94" t="s">
        <v>95</v>
      </c>
      <c r="O12" s="97" t="s">
        <v>96</v>
      </c>
      <c r="P12" s="94" t="s">
        <v>91</v>
      </c>
      <c r="Q12" s="98" t="s">
        <v>92</v>
      </c>
      <c r="R12" s="94" t="s">
        <v>93</v>
      </c>
      <c r="S12" s="98" t="s">
        <v>94</v>
      </c>
      <c r="T12" s="94" t="s">
        <v>95</v>
      </c>
      <c r="U12" s="97" t="s">
        <v>96</v>
      </c>
      <c r="V12" s="99"/>
      <c r="W12" s="99"/>
      <c r="X12" s="25"/>
    </row>
    <row r="13" spans="1:24" ht="15.75" customHeight="1" x14ac:dyDescent="0.25">
      <c r="A13" s="22"/>
      <c r="B13" s="14"/>
      <c r="C13" s="1" t="s">
        <v>97</v>
      </c>
      <c r="E13" s="53">
        <f>ROUND(12.011+1.00794*4,4)</f>
        <v>16.0428</v>
      </c>
      <c r="F13" s="50">
        <f>ROUND(E13*$D$6/$G$5/(273.15+$D$5),5)</f>
        <v>0.67849000000000004</v>
      </c>
      <c r="G13" s="56">
        <f>ROUND(E13/$E$31,5)</f>
        <v>0.55391000000000001</v>
      </c>
      <c r="H13" s="142">
        <v>-442.15</v>
      </c>
      <c r="I13" s="143">
        <v>-300</v>
      </c>
      <c r="J13" s="61">
        <v>37.706000000000003</v>
      </c>
      <c r="K13" s="58">
        <f>ROUND(J13/$G$6*1000,1)</f>
        <v>9008.7000000000007</v>
      </c>
      <c r="L13" s="64">
        <v>55.573999999999998</v>
      </c>
      <c r="M13" s="58">
        <f>ROUND(L13/$G$6*1000,1)</f>
        <v>13277.7</v>
      </c>
      <c r="N13" s="65">
        <v>891.56</v>
      </c>
      <c r="O13" s="67">
        <f>ROUND(N13/$G$6,2)</f>
        <v>213.01</v>
      </c>
      <c r="P13" s="61">
        <v>33.948</v>
      </c>
      <c r="Q13" s="71">
        <f>ROUND(P13/$G$6*1000,1)</f>
        <v>8110.9</v>
      </c>
      <c r="R13" s="69">
        <v>50.034999999999997</v>
      </c>
      <c r="S13" s="71">
        <f>ROUND(R13/$G$6*1000,1)</f>
        <v>11954.4</v>
      </c>
      <c r="T13" s="65">
        <v>802.69</v>
      </c>
      <c r="U13" s="67">
        <f>ROUND(T13/$G$6,2)</f>
        <v>191.78</v>
      </c>
      <c r="V13" s="74">
        <v>0.998</v>
      </c>
      <c r="W13" s="74">
        <v>4.4699999999999997E-2</v>
      </c>
      <c r="X13" s="25"/>
    </row>
    <row r="14" spans="1:24" ht="15.75" customHeight="1" x14ac:dyDescent="0.25">
      <c r="A14" s="22"/>
      <c r="B14" s="5"/>
      <c r="C14" s="1" t="s">
        <v>98</v>
      </c>
      <c r="E14" s="53">
        <f>ROUND(12.011*2+1.00794*6,4)</f>
        <v>30.069600000000001</v>
      </c>
      <c r="F14" s="51">
        <f t="shared" ref="F14:F31" si="0">ROUND(E14*$D$6/$G$5/(273.15+$D$5),4)</f>
        <v>1.2717000000000001</v>
      </c>
      <c r="G14" s="57">
        <f t="shared" ref="G14:G31" si="1">ROUND(E14/$E$31,4)</f>
        <v>1.0382</v>
      </c>
      <c r="H14" s="144">
        <v>281.32</v>
      </c>
      <c r="I14" s="145">
        <v>357.76</v>
      </c>
      <c r="J14" s="61">
        <v>66.069999999999993</v>
      </c>
      <c r="K14" s="58">
        <f t="shared" ref="K14:K25" si="2">ROUND(J14/$G$6*1000,1)</f>
        <v>15785.4</v>
      </c>
      <c r="L14" s="64">
        <v>51.95</v>
      </c>
      <c r="M14" s="58">
        <f t="shared" ref="M14:M25" si="3">ROUND(L14/$G$6*1000,1)</f>
        <v>12411.9</v>
      </c>
      <c r="N14" s="65">
        <v>1562.14</v>
      </c>
      <c r="O14" s="67">
        <f t="shared" ref="O14:O25" si="4">ROUND(N14/$G$6,2)</f>
        <v>373.23</v>
      </c>
      <c r="P14" s="61">
        <v>60.43</v>
      </c>
      <c r="Q14" s="71">
        <f t="shared" ref="Q14:S25" si="5">ROUND(P14/$G$6*1000,1)</f>
        <v>14437.9</v>
      </c>
      <c r="R14" s="69">
        <v>47.52</v>
      </c>
      <c r="S14" s="71">
        <f t="shared" si="5"/>
        <v>11353.5</v>
      </c>
      <c r="T14" s="65">
        <v>1428.84</v>
      </c>
      <c r="U14" s="67">
        <f t="shared" ref="U14:U25" si="6">ROUND(T14/$G$6,2)</f>
        <v>341.38</v>
      </c>
      <c r="V14" s="74">
        <v>0.99150000000000005</v>
      </c>
      <c r="W14" s="74">
        <v>9.2200000000000004E-2</v>
      </c>
      <c r="X14" s="25"/>
    </row>
    <row r="15" spans="1:24" ht="15.75" customHeight="1" x14ac:dyDescent="0.25">
      <c r="A15" s="22"/>
      <c r="B15" s="5"/>
      <c r="C15" s="1" t="s">
        <v>99</v>
      </c>
      <c r="E15" s="53">
        <f>ROUND(12.011*3+1.00794*8,4)</f>
        <v>44.096499999999999</v>
      </c>
      <c r="F15" s="51">
        <f t="shared" si="0"/>
        <v>1.8649</v>
      </c>
      <c r="G15" s="57">
        <f t="shared" si="1"/>
        <v>1.5225</v>
      </c>
      <c r="H15" s="144">
        <v>272.01</v>
      </c>
      <c r="I15" s="145">
        <v>507.3</v>
      </c>
      <c r="J15" s="61">
        <v>93.94</v>
      </c>
      <c r="K15" s="58">
        <f t="shared" si="2"/>
        <v>22444.2</v>
      </c>
      <c r="L15" s="64">
        <v>50.37</v>
      </c>
      <c r="M15" s="58">
        <f t="shared" si="3"/>
        <v>12034.4</v>
      </c>
      <c r="N15" s="65">
        <v>2221.1</v>
      </c>
      <c r="O15" s="67">
        <f t="shared" si="4"/>
        <v>530.66999999999996</v>
      </c>
      <c r="P15" s="61">
        <v>86.42</v>
      </c>
      <c r="Q15" s="71">
        <f t="shared" si="5"/>
        <v>20647.5</v>
      </c>
      <c r="R15" s="69">
        <v>46.34</v>
      </c>
      <c r="S15" s="71">
        <f t="shared" si="5"/>
        <v>11071.6</v>
      </c>
      <c r="T15" s="65">
        <v>2043.37</v>
      </c>
      <c r="U15" s="67">
        <f t="shared" si="6"/>
        <v>488.2</v>
      </c>
      <c r="V15" s="74">
        <v>0.98209999999999997</v>
      </c>
      <c r="W15" s="74">
        <v>0.1338</v>
      </c>
      <c r="X15" s="25"/>
    </row>
    <row r="16" spans="1:24" ht="15.75" customHeight="1" x14ac:dyDescent="0.25">
      <c r="A16" s="22"/>
      <c r="B16" s="5"/>
      <c r="C16" s="1" t="s">
        <v>100</v>
      </c>
      <c r="E16" s="53">
        <f>ROUND(12.011*4+1.00794*10,4)</f>
        <v>58.123399999999997</v>
      </c>
      <c r="F16" s="51">
        <f t="shared" si="0"/>
        <v>2.4582000000000002</v>
      </c>
      <c r="G16" s="57">
        <f t="shared" si="1"/>
        <v>2.0068000000000001</v>
      </c>
      <c r="H16" s="144">
        <v>229.02</v>
      </c>
      <c r="I16" s="145">
        <v>562.98</v>
      </c>
      <c r="J16" s="62">
        <v>121.4</v>
      </c>
      <c r="K16" s="58">
        <f t="shared" si="2"/>
        <v>29004.9</v>
      </c>
      <c r="L16" s="64">
        <v>49.39</v>
      </c>
      <c r="M16" s="58">
        <f t="shared" si="3"/>
        <v>11800.3</v>
      </c>
      <c r="N16" s="65">
        <v>2870.58</v>
      </c>
      <c r="O16" s="67">
        <f t="shared" si="4"/>
        <v>685.84</v>
      </c>
      <c r="P16" s="68">
        <v>112.01</v>
      </c>
      <c r="Q16" s="71">
        <f t="shared" si="5"/>
        <v>26761.4</v>
      </c>
      <c r="R16" s="69">
        <v>45.57</v>
      </c>
      <c r="S16" s="71">
        <f t="shared" si="5"/>
        <v>10887.6</v>
      </c>
      <c r="T16" s="65">
        <v>2648.42</v>
      </c>
      <c r="U16" s="67">
        <f t="shared" si="6"/>
        <v>632.76</v>
      </c>
      <c r="V16" s="74">
        <v>0.96799999999999997</v>
      </c>
      <c r="W16" s="74">
        <v>0.1789</v>
      </c>
      <c r="X16" s="25"/>
    </row>
    <row r="17" spans="1:24" ht="15.75" customHeight="1" x14ac:dyDescent="0.25">
      <c r="A17" s="22"/>
      <c r="B17" s="5"/>
      <c r="C17" s="1" t="s">
        <v>101</v>
      </c>
      <c r="E17" s="53">
        <f>ROUND(12.011*4+1.00794*10,4)</f>
        <v>58.123399999999997</v>
      </c>
      <c r="F17" s="51">
        <f t="shared" si="0"/>
        <v>2.4582000000000002</v>
      </c>
      <c r="G17" s="57">
        <f t="shared" si="1"/>
        <v>2.0068000000000001</v>
      </c>
      <c r="H17" s="144">
        <v>237.6</v>
      </c>
      <c r="I17" s="145">
        <v>584.05999999999995</v>
      </c>
      <c r="J17" s="62">
        <v>121.79</v>
      </c>
      <c r="K17" s="58">
        <f t="shared" si="2"/>
        <v>29098.1</v>
      </c>
      <c r="L17" s="64">
        <v>49.55</v>
      </c>
      <c r="M17" s="58">
        <f t="shared" si="3"/>
        <v>11838.5</v>
      </c>
      <c r="N17" s="65">
        <v>2879.76</v>
      </c>
      <c r="O17" s="67">
        <f t="shared" si="4"/>
        <v>688.03</v>
      </c>
      <c r="P17" s="68">
        <v>112.4</v>
      </c>
      <c r="Q17" s="71">
        <f t="shared" si="5"/>
        <v>26854.6</v>
      </c>
      <c r="R17" s="69">
        <v>45.72</v>
      </c>
      <c r="S17" s="71">
        <f t="shared" si="5"/>
        <v>10923.4</v>
      </c>
      <c r="T17" s="65">
        <v>2657.6</v>
      </c>
      <c r="U17" s="67">
        <f t="shared" si="6"/>
        <v>634.95000000000005</v>
      </c>
      <c r="V17" s="74">
        <v>0.96499999999999997</v>
      </c>
      <c r="W17" s="74">
        <v>0.18709999999999999</v>
      </c>
      <c r="X17" s="25"/>
    </row>
    <row r="18" spans="1:24" ht="15.75" customHeight="1" x14ac:dyDescent="0.25">
      <c r="A18" s="22"/>
      <c r="B18" s="5"/>
      <c r="C18" s="11" t="s">
        <v>102</v>
      </c>
      <c r="E18" s="53">
        <f>ROUND(12.011*5+1.00794*12,4)</f>
        <v>72.150300000000001</v>
      </c>
      <c r="F18" s="51">
        <f t="shared" si="0"/>
        <v>3.0514000000000001</v>
      </c>
      <c r="G18" s="57">
        <f t="shared" si="1"/>
        <v>2.4912000000000001</v>
      </c>
      <c r="H18" s="144">
        <v>195.5</v>
      </c>
      <c r="I18" s="145">
        <v>596.70000000000005</v>
      </c>
      <c r="J18" s="62">
        <v>148.76</v>
      </c>
      <c r="K18" s="58">
        <f t="shared" si="2"/>
        <v>35541.800000000003</v>
      </c>
      <c r="L18" s="64">
        <v>48.75</v>
      </c>
      <c r="M18" s="58">
        <f t="shared" si="3"/>
        <v>11647.4</v>
      </c>
      <c r="N18" s="65">
        <v>3517</v>
      </c>
      <c r="O18" s="67">
        <f t="shared" si="4"/>
        <v>840.28</v>
      </c>
      <c r="P18" s="68">
        <v>137.49</v>
      </c>
      <c r="Q18" s="71">
        <f t="shared" si="5"/>
        <v>32849.1</v>
      </c>
      <c r="R18" s="69">
        <v>45.06</v>
      </c>
      <c r="S18" s="71">
        <f t="shared" si="5"/>
        <v>10765.7</v>
      </c>
      <c r="T18" s="65">
        <v>3250.83</v>
      </c>
      <c r="U18" s="67">
        <f t="shared" si="6"/>
        <v>776.69</v>
      </c>
      <c r="V18" s="74">
        <v>0.95499999999999996</v>
      </c>
      <c r="W18" s="74">
        <v>0.21210000000000001</v>
      </c>
      <c r="X18" s="25"/>
    </row>
    <row r="19" spans="1:24" ht="15.75" customHeight="1" x14ac:dyDescent="0.25">
      <c r="A19" s="22"/>
      <c r="B19" s="5"/>
      <c r="C19" s="1" t="s">
        <v>103</v>
      </c>
      <c r="E19" s="53">
        <f>ROUND(12.011*5+1.00794*12,4)</f>
        <v>72.150300000000001</v>
      </c>
      <c r="F19" s="51">
        <f t="shared" si="0"/>
        <v>3.0514000000000001</v>
      </c>
      <c r="G19" s="57">
        <f t="shared" si="1"/>
        <v>2.4912000000000001</v>
      </c>
      <c r="H19" s="144">
        <v>204.61</v>
      </c>
      <c r="I19" s="145">
        <v>624.35</v>
      </c>
      <c r="J19" s="62">
        <v>149.36000000000001</v>
      </c>
      <c r="K19" s="58">
        <f t="shared" si="2"/>
        <v>35685.1</v>
      </c>
      <c r="L19" s="64">
        <v>48.95</v>
      </c>
      <c r="M19" s="58">
        <f t="shared" si="3"/>
        <v>11695.1</v>
      </c>
      <c r="N19" s="65">
        <v>3531.68</v>
      </c>
      <c r="O19" s="67">
        <f t="shared" si="4"/>
        <v>843.79</v>
      </c>
      <c r="P19" s="68">
        <v>138.09</v>
      </c>
      <c r="Q19" s="71">
        <f t="shared" si="5"/>
        <v>32992.5</v>
      </c>
      <c r="R19" s="69">
        <v>45.25</v>
      </c>
      <c r="S19" s="71">
        <f t="shared" si="5"/>
        <v>10811.1</v>
      </c>
      <c r="T19" s="65">
        <v>3265.08</v>
      </c>
      <c r="U19" s="67">
        <f t="shared" si="6"/>
        <v>780.09</v>
      </c>
      <c r="V19" s="74">
        <v>0.94799999999999995</v>
      </c>
      <c r="W19" s="74">
        <v>0.22800000000000001</v>
      </c>
      <c r="X19" s="25"/>
    </row>
    <row r="20" spans="1:24" ht="15.75" customHeight="1" x14ac:dyDescent="0.25">
      <c r="A20" s="22"/>
      <c r="B20" s="5"/>
      <c r="C20" s="1" t="s">
        <v>104</v>
      </c>
      <c r="E20" s="53">
        <f>ROUND(12.011*5+1.00794*12,4)</f>
        <v>72.150300000000001</v>
      </c>
      <c r="F20" s="51">
        <f t="shared" si="0"/>
        <v>3.0514000000000001</v>
      </c>
      <c r="G20" s="57">
        <f t="shared" si="1"/>
        <v>2.4912000000000001</v>
      </c>
      <c r="H20" s="144">
        <v>206.79</v>
      </c>
      <c r="I20" s="145">
        <v>631</v>
      </c>
      <c r="J20" s="62">
        <v>149.66</v>
      </c>
      <c r="K20" s="58">
        <f t="shared" si="2"/>
        <v>35756.800000000003</v>
      </c>
      <c r="L20" s="64">
        <v>49.04</v>
      </c>
      <c r="M20" s="58">
        <f t="shared" si="3"/>
        <v>11716.6</v>
      </c>
      <c r="N20" s="65">
        <v>3538.6</v>
      </c>
      <c r="O20" s="67">
        <f t="shared" si="4"/>
        <v>845.44</v>
      </c>
      <c r="P20" s="68">
        <v>138.38</v>
      </c>
      <c r="Q20" s="71">
        <f t="shared" si="5"/>
        <v>33061.800000000003</v>
      </c>
      <c r="R20" s="69">
        <v>45.35</v>
      </c>
      <c r="S20" s="71">
        <f t="shared" si="5"/>
        <v>10835</v>
      </c>
      <c r="T20" s="65">
        <v>3272</v>
      </c>
      <c r="U20" s="67">
        <f t="shared" si="6"/>
        <v>781.75</v>
      </c>
      <c r="V20" s="74">
        <v>0.93700000000000006</v>
      </c>
      <c r="W20" s="74">
        <v>0.251</v>
      </c>
      <c r="X20" s="25"/>
    </row>
    <row r="21" spans="1:24" ht="15.75" customHeight="1" x14ac:dyDescent="0.25">
      <c r="A21" s="22"/>
      <c r="B21" s="5"/>
      <c r="C21" s="11" t="s">
        <v>105</v>
      </c>
      <c r="E21" s="53">
        <f>ROUND(12.011*6+1.00794*14,4)</f>
        <v>86.177199999999999</v>
      </c>
      <c r="F21" s="51">
        <f t="shared" si="0"/>
        <v>3.6446000000000001</v>
      </c>
      <c r="G21" s="57">
        <f t="shared" si="1"/>
        <v>2.9754999999999998</v>
      </c>
      <c r="H21" s="144">
        <v>182.15</v>
      </c>
      <c r="I21" s="145">
        <v>663.89</v>
      </c>
      <c r="J21" s="62">
        <v>177.55</v>
      </c>
      <c r="K21" s="58">
        <f t="shared" si="2"/>
        <v>42420.3</v>
      </c>
      <c r="L21" s="64">
        <v>48.72</v>
      </c>
      <c r="M21" s="58">
        <f t="shared" si="3"/>
        <v>11640.2</v>
      </c>
      <c r="N21" s="65">
        <v>4198.24</v>
      </c>
      <c r="O21" s="67">
        <f t="shared" si="4"/>
        <v>1003.04</v>
      </c>
      <c r="P21" s="68">
        <v>164.4</v>
      </c>
      <c r="Q21" s="71">
        <f t="shared" si="5"/>
        <v>39278.5</v>
      </c>
      <c r="R21" s="69">
        <v>45.11</v>
      </c>
      <c r="S21" s="71">
        <f t="shared" si="5"/>
        <v>10777.7</v>
      </c>
      <c r="T21" s="65">
        <v>3887.21</v>
      </c>
      <c r="U21" s="67">
        <f t="shared" si="6"/>
        <v>928.73</v>
      </c>
      <c r="V21" s="74">
        <v>0.91300000000000003</v>
      </c>
      <c r="W21" s="74">
        <v>0.29499999999999998</v>
      </c>
      <c r="X21" s="25"/>
    </row>
    <row r="22" spans="1:24" ht="15.75" customHeight="1" x14ac:dyDescent="0.25">
      <c r="A22" s="22"/>
      <c r="B22" s="28"/>
      <c r="C22" s="11" t="s">
        <v>106</v>
      </c>
      <c r="E22" s="54">
        <f>ROUND(12.011*7+1.00794*16,3)</f>
        <v>100.20399999999999</v>
      </c>
      <c r="F22" s="51">
        <f t="shared" si="0"/>
        <v>4.2378999999999998</v>
      </c>
      <c r="G22" s="57">
        <f t="shared" si="1"/>
        <v>3.4598</v>
      </c>
      <c r="H22" s="144">
        <v>162.30000000000001</v>
      </c>
      <c r="I22" s="145">
        <v>687.84</v>
      </c>
      <c r="J22" s="62">
        <v>205.42</v>
      </c>
      <c r="K22" s="58">
        <f t="shared" si="2"/>
        <v>49079</v>
      </c>
      <c r="L22" s="64">
        <v>48.47</v>
      </c>
      <c r="M22" s="58">
        <f t="shared" si="3"/>
        <v>11580.5</v>
      </c>
      <c r="N22" s="65">
        <v>4857.18</v>
      </c>
      <c r="O22" s="67">
        <f t="shared" si="4"/>
        <v>1160.48</v>
      </c>
      <c r="P22" s="68">
        <v>190.39</v>
      </c>
      <c r="Q22" s="71">
        <f t="shared" si="5"/>
        <v>45488</v>
      </c>
      <c r="R22" s="69">
        <v>44.93</v>
      </c>
      <c r="S22" s="71">
        <f t="shared" si="5"/>
        <v>10734.7</v>
      </c>
      <c r="T22" s="65">
        <v>4501.72</v>
      </c>
      <c r="U22" s="67">
        <f t="shared" si="6"/>
        <v>1075.55</v>
      </c>
      <c r="V22" s="74">
        <v>0.86599999999999999</v>
      </c>
      <c r="W22" s="74">
        <v>0.36609999999999998</v>
      </c>
      <c r="X22" s="25"/>
    </row>
    <row r="23" spans="1:24" ht="15.75" customHeight="1" x14ac:dyDescent="0.25">
      <c r="A23" s="22"/>
      <c r="B23" s="28"/>
      <c r="C23" s="11" t="s">
        <v>107</v>
      </c>
      <c r="E23" s="54">
        <f>ROUND(12.011*8+1.00794*18,3)</f>
        <v>114.23099999999999</v>
      </c>
      <c r="F23" s="51">
        <f t="shared" si="0"/>
        <v>4.8311000000000002</v>
      </c>
      <c r="G23" s="57">
        <f t="shared" si="1"/>
        <v>3.9441000000000002</v>
      </c>
      <c r="H23" s="144">
        <v>146.25</v>
      </c>
      <c r="I23" s="145">
        <v>706.54</v>
      </c>
      <c r="J23" s="62">
        <v>233.28</v>
      </c>
      <c r="K23" s="58">
        <f t="shared" si="2"/>
        <v>55735.3</v>
      </c>
      <c r="L23" s="64">
        <v>48.29</v>
      </c>
      <c r="M23" s="58">
        <f t="shared" si="3"/>
        <v>11537.5</v>
      </c>
      <c r="N23" s="65">
        <v>5516.01</v>
      </c>
      <c r="O23" s="67">
        <f t="shared" si="4"/>
        <v>1317.89</v>
      </c>
      <c r="P23" s="68">
        <v>216.37</v>
      </c>
      <c r="Q23" s="71">
        <f t="shared" si="5"/>
        <v>51695.1</v>
      </c>
      <c r="R23" s="69">
        <v>44.79</v>
      </c>
      <c r="S23" s="71">
        <f t="shared" si="5"/>
        <v>10701.2</v>
      </c>
      <c r="T23" s="65">
        <v>5116.1099999999997</v>
      </c>
      <c r="U23" s="67">
        <f t="shared" si="6"/>
        <v>1222.3399999999999</v>
      </c>
      <c r="V23" s="74">
        <v>0.80200000000000005</v>
      </c>
      <c r="W23" s="74">
        <v>0.44500000000000001</v>
      </c>
      <c r="X23" s="25"/>
    </row>
    <row r="24" spans="1:24" ht="15.75" customHeight="1" x14ac:dyDescent="0.25">
      <c r="A24" s="22"/>
      <c r="B24" s="28"/>
      <c r="C24" s="11" t="s">
        <v>108</v>
      </c>
      <c r="E24" s="54">
        <f>ROUND(12.011*9+1.00794*20,3)</f>
        <v>128.25800000000001</v>
      </c>
      <c r="F24" s="51">
        <f t="shared" si="0"/>
        <v>5.4242999999999997</v>
      </c>
      <c r="G24" s="57">
        <f>ROUND(E24/$E$31,4)</f>
        <v>4.4283999999999999</v>
      </c>
      <c r="H24" s="144">
        <v>133.04</v>
      </c>
      <c r="I24" s="145">
        <v>721.66</v>
      </c>
      <c r="J24" s="62">
        <v>261.19</v>
      </c>
      <c r="K24" s="58">
        <f t="shared" si="2"/>
        <v>62403.5</v>
      </c>
      <c r="L24" s="64">
        <v>48.15</v>
      </c>
      <c r="M24" s="58">
        <f t="shared" si="3"/>
        <v>11504</v>
      </c>
      <c r="N24" s="65">
        <v>6175.82</v>
      </c>
      <c r="O24" s="67">
        <f t="shared" si="4"/>
        <v>1475.53</v>
      </c>
      <c r="P24" s="68">
        <v>242.4</v>
      </c>
      <c r="Q24" s="71">
        <f t="shared" si="5"/>
        <v>57914.2</v>
      </c>
      <c r="R24" s="69">
        <v>44.69</v>
      </c>
      <c r="S24" s="71">
        <f t="shared" si="5"/>
        <v>10677.3</v>
      </c>
      <c r="T24" s="65">
        <v>5731.49</v>
      </c>
      <c r="U24" s="67">
        <f t="shared" si="6"/>
        <v>1369.37</v>
      </c>
      <c r="V24" s="74">
        <v>0.71</v>
      </c>
      <c r="W24" s="74">
        <v>0.53849999999999998</v>
      </c>
      <c r="X24" s="25"/>
    </row>
    <row r="25" spans="1:24" ht="15.75" customHeight="1" x14ac:dyDescent="0.25">
      <c r="A25" s="22"/>
      <c r="B25" s="28"/>
      <c r="C25" s="11" t="s">
        <v>109</v>
      </c>
      <c r="E25" s="54">
        <f>ROUND(12.011*10+1.00794*22,3)</f>
        <v>142.285</v>
      </c>
      <c r="F25" s="51">
        <f t="shared" si="0"/>
        <v>6.0175999999999998</v>
      </c>
      <c r="G25" s="57">
        <f>ROUND(E25/$E$31,4)</f>
        <v>4.9127000000000001</v>
      </c>
      <c r="H25" s="144">
        <v>121.95</v>
      </c>
      <c r="I25" s="145">
        <v>733.86</v>
      </c>
      <c r="J25" s="62">
        <v>289.06</v>
      </c>
      <c r="K25" s="58">
        <f t="shared" si="2"/>
        <v>69062.2</v>
      </c>
      <c r="L25" s="64">
        <v>48.04</v>
      </c>
      <c r="M25" s="58">
        <f t="shared" si="3"/>
        <v>11477.7</v>
      </c>
      <c r="N25" s="65">
        <v>6834.9</v>
      </c>
      <c r="O25" s="67">
        <f t="shared" si="4"/>
        <v>1632.99</v>
      </c>
      <c r="P25" s="68">
        <v>268.39</v>
      </c>
      <c r="Q25" s="71">
        <f t="shared" si="5"/>
        <v>64123.8</v>
      </c>
      <c r="R25" s="69">
        <v>44.6</v>
      </c>
      <c r="S25" s="71">
        <f t="shared" si="5"/>
        <v>10655.8</v>
      </c>
      <c r="T25" s="65">
        <v>6346.14</v>
      </c>
      <c r="U25" s="67">
        <f t="shared" si="6"/>
        <v>1516.22</v>
      </c>
      <c r="V25" s="74">
        <v>0.58399999999999996</v>
      </c>
      <c r="W25" s="74">
        <v>0.64500000000000002</v>
      </c>
      <c r="X25" s="25"/>
    </row>
    <row r="26" spans="1:24" ht="15.75" customHeight="1" x14ac:dyDescent="0.25">
      <c r="A26" s="22"/>
      <c r="B26" s="28"/>
      <c r="C26" s="1" t="s">
        <v>110</v>
      </c>
      <c r="E26" s="53">
        <f>ROUND(14.00674*2,4)</f>
        <v>28.013500000000001</v>
      </c>
      <c r="F26" s="51">
        <f t="shared" si="0"/>
        <v>1.1848000000000001</v>
      </c>
      <c r="G26" s="56">
        <f>ROUND(E26/$E$31,5)</f>
        <v>0.96723000000000003</v>
      </c>
      <c r="H26" s="144">
        <v>682.48</v>
      </c>
      <c r="I26" s="145">
        <v>808.6</v>
      </c>
      <c r="J26" s="61"/>
      <c r="K26" s="58"/>
      <c r="L26" s="64"/>
      <c r="M26" s="58"/>
      <c r="N26" s="65"/>
      <c r="O26" s="58"/>
      <c r="P26" s="61"/>
      <c r="Q26" s="71"/>
      <c r="R26" s="69"/>
      <c r="S26" s="71"/>
      <c r="T26" s="65"/>
      <c r="U26" s="67"/>
      <c r="V26" s="74">
        <v>0.99970000000000003</v>
      </c>
      <c r="W26" s="74">
        <v>1.7299999999999999E-2</v>
      </c>
      <c r="X26" s="25"/>
    </row>
    <row r="27" spans="1:24" ht="15.75" customHeight="1" x14ac:dyDescent="0.25">
      <c r="A27" s="22"/>
      <c r="B27" s="28"/>
      <c r="C27" s="11" t="s">
        <v>111</v>
      </c>
      <c r="E27" s="53">
        <f>ROUND(12.011+15.9994*2,4)</f>
        <v>44.009799999999998</v>
      </c>
      <c r="F27" s="51">
        <f t="shared" si="0"/>
        <v>1.8613</v>
      </c>
      <c r="G27" s="57">
        <f t="shared" si="1"/>
        <v>1.5195000000000001</v>
      </c>
      <c r="H27" s="144">
        <v>441.59</v>
      </c>
      <c r="I27" s="145">
        <v>821.94</v>
      </c>
      <c r="J27" s="61"/>
      <c r="K27" s="58"/>
      <c r="L27" s="64"/>
      <c r="M27" s="58"/>
      <c r="N27" s="65"/>
      <c r="O27" s="58"/>
      <c r="P27" s="61"/>
      <c r="Q27" s="71"/>
      <c r="R27" s="69"/>
      <c r="S27" s="71"/>
      <c r="T27" s="65"/>
      <c r="U27" s="67"/>
      <c r="V27" s="74">
        <v>0.99439999999999995</v>
      </c>
      <c r="W27" s="74">
        <v>7.4800000000000005E-2</v>
      </c>
      <c r="X27" s="25"/>
    </row>
    <row r="28" spans="1:24" ht="15.75" customHeight="1" x14ac:dyDescent="0.25">
      <c r="A28" s="22"/>
      <c r="B28" s="28"/>
      <c r="C28" s="11" t="s">
        <v>112</v>
      </c>
      <c r="E28" s="53">
        <f>ROUND(32.066+1.00794*2,4)</f>
        <v>34.081899999999997</v>
      </c>
      <c r="F28" s="51">
        <f t="shared" si="0"/>
        <v>1.4414</v>
      </c>
      <c r="G28" s="57">
        <f t="shared" si="1"/>
        <v>1.1768000000000001</v>
      </c>
      <c r="H28" s="144">
        <v>556.37</v>
      </c>
      <c r="I28" s="145">
        <v>801.9</v>
      </c>
      <c r="J28" s="61">
        <v>23.78</v>
      </c>
      <c r="K28" s="58">
        <f>ROUND(J28/$G$6*1000,1)</f>
        <v>5681.5</v>
      </c>
      <c r="L28" s="64">
        <v>16.5</v>
      </c>
      <c r="M28" s="58">
        <f>ROUND(L28/$G$6*1000,1)</f>
        <v>3942.2</v>
      </c>
      <c r="N28" s="65">
        <v>383.51</v>
      </c>
      <c r="O28" s="67">
        <f>ROUND(N28/$G$6,2)</f>
        <v>91.63</v>
      </c>
      <c r="P28" s="61">
        <v>21.91</v>
      </c>
      <c r="Q28" s="71">
        <f>ROUND(P28/$G$6*1000,1)</f>
        <v>5234.7</v>
      </c>
      <c r="R28" s="69">
        <v>15.2</v>
      </c>
      <c r="S28" s="71">
        <f>ROUND(R28/$G$6*1000,1)</f>
        <v>3631.6</v>
      </c>
      <c r="T28" s="65">
        <v>517.95000000000005</v>
      </c>
      <c r="U28" s="67">
        <f>ROUND(T28/$G$6,2)</f>
        <v>123.75</v>
      </c>
      <c r="V28" s="74">
        <v>0.99</v>
      </c>
      <c r="W28" s="74">
        <v>0.1</v>
      </c>
      <c r="X28" s="25"/>
    </row>
    <row r="29" spans="1:24" ht="15.75" customHeight="1" x14ac:dyDescent="0.25">
      <c r="A29" s="22"/>
      <c r="B29" s="28"/>
      <c r="C29" s="11" t="s">
        <v>113</v>
      </c>
      <c r="E29" s="53">
        <f>ROUND(15.9994*2,4)</f>
        <v>31.998799999999999</v>
      </c>
      <c r="F29" s="51">
        <f t="shared" si="0"/>
        <v>1.3532999999999999</v>
      </c>
      <c r="G29" s="57">
        <f t="shared" si="1"/>
        <v>1.1048</v>
      </c>
      <c r="H29" s="144">
        <v>843.12</v>
      </c>
      <c r="I29" s="146">
        <v>1141</v>
      </c>
      <c r="J29" s="61"/>
      <c r="K29" s="58"/>
      <c r="L29" s="64"/>
      <c r="M29" s="58"/>
      <c r="N29" s="65"/>
      <c r="O29" s="58"/>
      <c r="P29" s="61"/>
      <c r="Q29" s="71"/>
      <c r="R29" s="69"/>
      <c r="S29" s="71"/>
      <c r="T29" s="65"/>
      <c r="U29" s="58"/>
      <c r="V29" s="74">
        <v>0.99919999999999998</v>
      </c>
      <c r="W29" s="74">
        <v>2.8299999999999999E-2</v>
      </c>
      <c r="X29" s="25"/>
    </row>
    <row r="30" spans="1:24" ht="15.75" customHeight="1" x14ac:dyDescent="0.25">
      <c r="A30" s="22"/>
      <c r="B30" s="28"/>
      <c r="C30" s="11" t="s">
        <v>114</v>
      </c>
      <c r="E30" s="53">
        <f>ROUND(1.00794*2+15.9994,4)</f>
        <v>18.0153</v>
      </c>
      <c r="F30" s="50">
        <f>ROUND(E30*$D$6/$G$5/(273.15+$D$5),5)</f>
        <v>0.76190999999999998</v>
      </c>
      <c r="G30" s="56">
        <f>ROUND(E30/$E$31,5)</f>
        <v>0.62202000000000002</v>
      </c>
      <c r="H30" s="147">
        <v>1311.3</v>
      </c>
      <c r="I30" s="145">
        <v>999.1</v>
      </c>
      <c r="J30" s="61">
        <v>1.88</v>
      </c>
      <c r="K30" s="59">
        <f>ROUND(J30/$G$6*1000,2)</f>
        <v>449.17</v>
      </c>
      <c r="L30" s="64">
        <v>2.4700000000000002</v>
      </c>
      <c r="M30" s="59">
        <f>ROUND(L30/$G$6*1000,2)</f>
        <v>590.13</v>
      </c>
      <c r="N30" s="65">
        <v>44.433</v>
      </c>
      <c r="O30" s="67">
        <f>ROUND(N30/$G$6,2)</f>
        <v>10.62</v>
      </c>
      <c r="P30" s="61"/>
      <c r="Q30" s="71"/>
      <c r="R30" s="69"/>
      <c r="S30" s="71"/>
      <c r="T30" s="65"/>
      <c r="U30" s="58"/>
      <c r="V30" s="74">
        <v>0.94499999999999995</v>
      </c>
      <c r="W30" s="74">
        <v>0.23449999999999999</v>
      </c>
      <c r="X30" s="25"/>
    </row>
    <row r="31" spans="1:24" ht="15.75" customHeight="1" x14ac:dyDescent="0.25">
      <c r="A31" s="22"/>
      <c r="B31" s="28"/>
      <c r="C31" s="1" t="s">
        <v>115</v>
      </c>
      <c r="E31" s="53">
        <v>28.962599999999998</v>
      </c>
      <c r="F31" s="51">
        <f t="shared" si="0"/>
        <v>1.2249000000000001</v>
      </c>
      <c r="G31" s="57">
        <f t="shared" si="1"/>
        <v>1</v>
      </c>
      <c r="H31" s="144">
        <v>713.45</v>
      </c>
      <c r="I31" s="145">
        <v>873.9</v>
      </c>
      <c r="J31" s="61"/>
      <c r="K31" s="58"/>
      <c r="L31" s="64"/>
      <c r="M31" s="58"/>
      <c r="N31" s="66"/>
      <c r="O31" s="58"/>
      <c r="P31" s="61"/>
      <c r="Q31" s="72"/>
      <c r="R31" s="70"/>
      <c r="S31" s="72"/>
      <c r="T31" s="66"/>
      <c r="U31" s="47"/>
      <c r="V31" s="74">
        <v>0.99958000000000002</v>
      </c>
      <c r="W31" s="75" t="s">
        <v>116</v>
      </c>
      <c r="X31" s="25"/>
    </row>
    <row r="32" spans="1:24" ht="15" customHeight="1" x14ac:dyDescent="0.25">
      <c r="A32" s="22"/>
      <c r="B32" s="28"/>
      <c r="E32" s="41"/>
      <c r="F32" s="15"/>
      <c r="G32" s="15"/>
      <c r="H32" s="42"/>
      <c r="I32" s="42"/>
      <c r="J32" s="26"/>
      <c r="K32" s="16"/>
      <c r="L32" s="26"/>
      <c r="M32" s="16"/>
      <c r="N32" s="16"/>
      <c r="O32" s="16"/>
      <c r="P32" s="26"/>
      <c r="Q32" s="22"/>
      <c r="R32" s="34"/>
      <c r="S32" s="22"/>
      <c r="T32" s="16"/>
      <c r="U32" s="22"/>
      <c r="V32" s="27"/>
      <c r="W32" s="32"/>
      <c r="X32" s="25"/>
    </row>
    <row r="33" spans="1:24" ht="15" customHeight="1" x14ac:dyDescent="0.25">
      <c r="A33" s="22"/>
      <c r="B33" s="28"/>
      <c r="E33" s="41"/>
      <c r="F33" s="15"/>
      <c r="G33" s="15"/>
      <c r="H33" s="42"/>
      <c r="I33" s="42"/>
      <c r="J33" s="26"/>
      <c r="K33" s="16"/>
      <c r="L33" s="26"/>
      <c r="M33" s="16"/>
      <c r="N33" s="16"/>
      <c r="O33" s="16"/>
      <c r="P33" s="26"/>
      <c r="Q33" s="22"/>
      <c r="R33" s="34"/>
      <c r="S33" s="22"/>
      <c r="T33" s="16"/>
      <c r="U33" s="22"/>
      <c r="V33" s="27"/>
      <c r="W33" s="32"/>
      <c r="X33" s="25"/>
    </row>
    <row r="34" spans="1:24" ht="15.75" customHeight="1" x14ac:dyDescent="0.25">
      <c r="A34" s="22"/>
      <c r="B34" s="28"/>
      <c r="E34" s="60" t="s">
        <v>117</v>
      </c>
      <c r="F34" s="13"/>
      <c r="G34" s="13"/>
      <c r="H34" s="60" t="s">
        <v>118</v>
      </c>
      <c r="I34" s="13"/>
      <c r="J34" s="106" t="s">
        <v>119</v>
      </c>
      <c r="K34" s="13"/>
      <c r="L34" s="60" t="s">
        <v>120</v>
      </c>
      <c r="M34" s="13"/>
      <c r="N34" s="13"/>
      <c r="O34" s="13"/>
      <c r="P34" s="87" t="s">
        <v>121</v>
      </c>
      <c r="Q34" s="107" t="s">
        <v>122</v>
      </c>
      <c r="R34" s="88"/>
      <c r="S34" s="84"/>
      <c r="T34" s="16"/>
      <c r="U34" s="22"/>
      <c r="V34" s="88"/>
      <c r="W34" s="32"/>
      <c r="X34" s="25"/>
    </row>
    <row r="35" spans="1:24" ht="15.75" customHeight="1" x14ac:dyDescent="0.25">
      <c r="A35" s="22"/>
      <c r="B35" s="28"/>
      <c r="E35" s="49" t="s">
        <v>118</v>
      </c>
      <c r="F35" s="48" t="s">
        <v>123</v>
      </c>
      <c r="G35" s="73" t="s">
        <v>124</v>
      </c>
      <c r="H35" s="60" t="s">
        <v>125</v>
      </c>
      <c r="I35" s="76" t="s">
        <v>126</v>
      </c>
      <c r="J35" s="92" t="s">
        <v>127</v>
      </c>
      <c r="K35" s="13"/>
      <c r="L35" s="60" t="s">
        <v>128</v>
      </c>
      <c r="M35" s="13"/>
      <c r="N35" s="46" t="s">
        <v>129</v>
      </c>
      <c r="O35" s="13"/>
      <c r="P35" s="89" t="s">
        <v>130</v>
      </c>
      <c r="Q35" s="90" t="s">
        <v>131</v>
      </c>
      <c r="R35" s="91" t="s">
        <v>132</v>
      </c>
      <c r="S35" s="84"/>
      <c r="T35" s="16"/>
      <c r="U35" s="22"/>
      <c r="V35" s="91" t="s">
        <v>247</v>
      </c>
      <c r="W35" s="32"/>
      <c r="X35" s="25"/>
    </row>
    <row r="36" spans="1:24" ht="15" customHeight="1" x14ac:dyDescent="0.25">
      <c r="A36" s="22"/>
      <c r="B36" s="28"/>
      <c r="E36" s="100" t="s">
        <v>133</v>
      </c>
      <c r="F36" s="101" t="s">
        <v>70</v>
      </c>
      <c r="G36" s="102" t="s">
        <v>134</v>
      </c>
      <c r="H36" s="100" t="s">
        <v>133</v>
      </c>
      <c r="I36" s="102" t="s">
        <v>133</v>
      </c>
      <c r="J36" s="94" t="s">
        <v>135</v>
      </c>
      <c r="K36" s="98" t="s">
        <v>94</v>
      </c>
      <c r="L36" s="94" t="s">
        <v>136</v>
      </c>
      <c r="M36" s="97" t="s">
        <v>137</v>
      </c>
      <c r="N36" s="97" t="s">
        <v>138</v>
      </c>
      <c r="O36" s="98" t="s">
        <v>137</v>
      </c>
      <c r="P36" s="103" t="s">
        <v>139</v>
      </c>
      <c r="Q36" s="104" t="s">
        <v>140</v>
      </c>
      <c r="R36" s="105" t="s">
        <v>140</v>
      </c>
      <c r="S36" s="84"/>
      <c r="T36" s="16"/>
      <c r="U36" s="22"/>
      <c r="V36" s="105" t="s">
        <v>248</v>
      </c>
      <c r="W36" s="32"/>
      <c r="X36" s="25"/>
    </row>
    <row r="37" spans="1:24" ht="15.75" customHeight="1" x14ac:dyDescent="0.25">
      <c r="A37" s="22"/>
      <c r="B37" s="28"/>
      <c r="C37" s="1" t="s">
        <v>97</v>
      </c>
      <c r="E37" s="62">
        <v>190.55500000000001</v>
      </c>
      <c r="F37" s="79">
        <v>4598.8</v>
      </c>
      <c r="G37" s="77">
        <v>1.15E-2</v>
      </c>
      <c r="H37" s="148">
        <v>111.64</v>
      </c>
      <c r="I37" s="149">
        <v>90.7</v>
      </c>
      <c r="J37" s="148">
        <v>510.44</v>
      </c>
      <c r="K37" s="82">
        <f>ROUND(J37/$G$6,2)</f>
        <v>121.95</v>
      </c>
      <c r="L37" s="154">
        <v>2.2040000000000002</v>
      </c>
      <c r="M37" s="59">
        <f>ROUND(L37/$G$6*1000,2)</f>
        <v>526.58000000000004</v>
      </c>
      <c r="N37" s="57">
        <f t="shared" ref="N37:N55" si="7">ROUND((L37*E13-$G$5)/E13,5)</f>
        <v>1.68573</v>
      </c>
      <c r="O37" s="82">
        <f>ROUND(N37/$G$6*1000,2)</f>
        <v>402.75</v>
      </c>
      <c r="P37" s="154">
        <v>9.5484000000000009</v>
      </c>
      <c r="Q37" s="145">
        <v>15</v>
      </c>
      <c r="R37" s="150">
        <v>5</v>
      </c>
      <c r="S37" s="84"/>
      <c r="T37" s="16"/>
      <c r="U37" s="22"/>
      <c r="V37" s="290"/>
      <c r="W37" s="32"/>
      <c r="X37" s="25"/>
    </row>
    <row r="38" spans="1:24" ht="15.75" customHeight="1" x14ac:dyDescent="0.25">
      <c r="A38" s="22"/>
      <c r="B38" s="28"/>
      <c r="C38" s="1" t="s">
        <v>98</v>
      </c>
      <c r="E38" s="62">
        <v>305.83</v>
      </c>
      <c r="F38" s="79">
        <v>4880</v>
      </c>
      <c r="G38" s="77">
        <v>9.0800000000000006E-2</v>
      </c>
      <c r="H38" s="148">
        <v>184.56</v>
      </c>
      <c r="I38" s="149">
        <v>90.36</v>
      </c>
      <c r="J38" s="148">
        <v>488.86</v>
      </c>
      <c r="K38" s="82">
        <f>ROUND(J38/$G$6,2)</f>
        <v>116.8</v>
      </c>
      <c r="L38" s="154">
        <v>1.7053</v>
      </c>
      <c r="M38" s="59">
        <f t="shared" ref="M38:M55" si="8">ROUND(L38/$G$6*1000,2)</f>
        <v>407.43</v>
      </c>
      <c r="N38" s="57">
        <f t="shared" si="7"/>
        <v>1.42879</v>
      </c>
      <c r="O38" s="82">
        <f t="shared" ref="O38:O55" si="9">ROUND(N38/$G$6*1000,2)</f>
        <v>341.37</v>
      </c>
      <c r="P38" s="151">
        <v>16.71</v>
      </c>
      <c r="Q38" s="145">
        <v>13</v>
      </c>
      <c r="R38" s="150">
        <v>2.9</v>
      </c>
      <c r="S38" s="84"/>
      <c r="T38" s="16"/>
      <c r="U38" s="22"/>
      <c r="V38" s="290">
        <v>18459</v>
      </c>
      <c r="W38" s="32"/>
      <c r="X38" s="25"/>
    </row>
    <row r="39" spans="1:24" ht="15.75" customHeight="1" x14ac:dyDescent="0.25">
      <c r="A39" s="22"/>
      <c r="B39" s="28"/>
      <c r="C39" s="1" t="s">
        <v>99</v>
      </c>
      <c r="E39" s="62">
        <v>369.82</v>
      </c>
      <c r="F39" s="79">
        <v>4250</v>
      </c>
      <c r="G39" s="77">
        <v>0.1454</v>
      </c>
      <c r="H39" s="148">
        <v>231.08</v>
      </c>
      <c r="I39" s="149">
        <v>85.53</v>
      </c>
      <c r="J39" s="148">
        <v>431.78</v>
      </c>
      <c r="K39" s="82">
        <f>ROUND(J39/$G$6,2)</f>
        <v>103.16</v>
      </c>
      <c r="L39" s="154">
        <v>1.6242000000000001</v>
      </c>
      <c r="M39" s="59">
        <f t="shared" si="8"/>
        <v>388.05</v>
      </c>
      <c r="N39" s="57">
        <f t="shared" si="7"/>
        <v>1.4356500000000001</v>
      </c>
      <c r="O39" s="82">
        <f t="shared" si="9"/>
        <v>343.01</v>
      </c>
      <c r="P39" s="151">
        <v>23.870999999999999</v>
      </c>
      <c r="Q39" s="145">
        <v>9.5</v>
      </c>
      <c r="R39" s="150">
        <v>2</v>
      </c>
      <c r="S39" s="84"/>
      <c r="T39" s="16"/>
      <c r="U39" s="22"/>
      <c r="V39" s="290">
        <v>25358</v>
      </c>
      <c r="W39" s="32"/>
      <c r="X39" s="25"/>
    </row>
    <row r="40" spans="1:24" ht="15.75" customHeight="1" x14ac:dyDescent="0.25">
      <c r="A40" s="22"/>
      <c r="B40" s="28"/>
      <c r="C40" s="1" t="s">
        <v>100</v>
      </c>
      <c r="E40" s="62">
        <v>408.13</v>
      </c>
      <c r="F40" s="79">
        <v>3648</v>
      </c>
      <c r="G40" s="77">
        <v>0.17560000000000001</v>
      </c>
      <c r="H40" s="148">
        <v>261.36</v>
      </c>
      <c r="I40" s="150">
        <v>113.56</v>
      </c>
      <c r="J40" s="148">
        <v>366.46</v>
      </c>
      <c r="K40" s="83">
        <f>ROUND(J40/$G$6,3)</f>
        <v>87.555000000000007</v>
      </c>
      <c r="L40" s="154">
        <v>1.6164000000000001</v>
      </c>
      <c r="M40" s="59">
        <f t="shared" si="8"/>
        <v>386.19</v>
      </c>
      <c r="N40" s="57">
        <f t="shared" si="7"/>
        <v>1.4733499999999999</v>
      </c>
      <c r="O40" s="82">
        <f t="shared" si="9"/>
        <v>352.01</v>
      </c>
      <c r="P40" s="151">
        <v>31.032</v>
      </c>
      <c r="Q40" s="145">
        <v>8.5</v>
      </c>
      <c r="R40" s="150">
        <v>1.8</v>
      </c>
      <c r="S40" s="84"/>
      <c r="T40" s="16"/>
      <c r="U40" s="22"/>
      <c r="V40" s="290">
        <v>27604</v>
      </c>
      <c r="W40" s="32"/>
      <c r="X40" s="25"/>
    </row>
    <row r="41" spans="1:24" ht="15.75" customHeight="1" x14ac:dyDescent="0.25">
      <c r="A41" s="22"/>
      <c r="B41" s="28"/>
      <c r="C41" s="1" t="s">
        <v>101</v>
      </c>
      <c r="E41" s="62">
        <v>425.14</v>
      </c>
      <c r="F41" s="79">
        <v>3784</v>
      </c>
      <c r="G41" s="77">
        <v>0.1928</v>
      </c>
      <c r="H41" s="148">
        <v>272.64</v>
      </c>
      <c r="I41" s="150">
        <v>134.80000000000001</v>
      </c>
      <c r="J41" s="148">
        <v>386.08</v>
      </c>
      <c r="K41" s="83">
        <f t="shared" ref="K41:K50" si="10">ROUND(J41/$G$6,3)</f>
        <v>92.242000000000004</v>
      </c>
      <c r="L41" s="154">
        <v>1.6514</v>
      </c>
      <c r="M41" s="59">
        <f t="shared" si="8"/>
        <v>394.55</v>
      </c>
      <c r="N41" s="57">
        <f t="shared" si="7"/>
        <v>1.5083500000000001</v>
      </c>
      <c r="O41" s="82">
        <f t="shared" si="9"/>
        <v>360.38</v>
      </c>
      <c r="P41" s="151">
        <v>31.032</v>
      </c>
      <c r="Q41" s="145">
        <v>9</v>
      </c>
      <c r="R41" s="150">
        <v>1.5</v>
      </c>
      <c r="S41" s="84"/>
      <c r="T41" s="16"/>
      <c r="U41" s="22"/>
      <c r="V41" s="290">
        <v>28715</v>
      </c>
      <c r="W41" s="32"/>
      <c r="X41" s="25"/>
    </row>
    <row r="42" spans="1:24" ht="15.75" customHeight="1" x14ac:dyDescent="0.25">
      <c r="A42" s="22"/>
      <c r="B42" s="28"/>
      <c r="C42" s="11" t="s">
        <v>102</v>
      </c>
      <c r="E42" s="62">
        <v>433.75</v>
      </c>
      <c r="F42" s="79">
        <v>3199</v>
      </c>
      <c r="G42" s="77">
        <v>0.19700000000000001</v>
      </c>
      <c r="H42" s="148">
        <v>282.64</v>
      </c>
      <c r="I42" s="150">
        <v>256.58999999999997</v>
      </c>
      <c r="J42" s="148">
        <v>315.33999999999997</v>
      </c>
      <c r="K42" s="83">
        <f t="shared" si="10"/>
        <v>75.340999999999994</v>
      </c>
      <c r="L42" s="154">
        <v>1.6240000000000001</v>
      </c>
      <c r="M42" s="59">
        <f t="shared" si="8"/>
        <v>388.01</v>
      </c>
      <c r="N42" s="57">
        <f t="shared" si="7"/>
        <v>1.5087600000000001</v>
      </c>
      <c r="O42" s="82">
        <f t="shared" si="9"/>
        <v>360.47</v>
      </c>
      <c r="P42" s="151">
        <v>38.192999999999998</v>
      </c>
      <c r="Q42" s="145">
        <v>8</v>
      </c>
      <c r="R42" s="150">
        <v>1.3</v>
      </c>
      <c r="S42" s="84"/>
      <c r="T42" s="16"/>
      <c r="U42" s="22"/>
      <c r="V42" s="290"/>
      <c r="W42" s="32"/>
      <c r="X42" s="25"/>
    </row>
    <row r="43" spans="1:24" ht="15.75" customHeight="1" x14ac:dyDescent="0.25">
      <c r="A43" s="22"/>
      <c r="B43" s="28"/>
      <c r="C43" s="1" t="s">
        <v>103</v>
      </c>
      <c r="E43" s="62">
        <v>460.39</v>
      </c>
      <c r="F43" s="79">
        <v>3381</v>
      </c>
      <c r="G43" s="77">
        <v>0.2273</v>
      </c>
      <c r="H43" s="148">
        <v>300.98</v>
      </c>
      <c r="I43" s="150">
        <v>113.26</v>
      </c>
      <c r="J43" s="148">
        <v>342.2</v>
      </c>
      <c r="K43" s="83">
        <f t="shared" si="10"/>
        <v>81.757999999999996</v>
      </c>
      <c r="L43" s="154">
        <v>1.6071</v>
      </c>
      <c r="M43" s="59">
        <f t="shared" si="8"/>
        <v>383.97</v>
      </c>
      <c r="N43" s="57">
        <f t="shared" si="7"/>
        <v>1.49186</v>
      </c>
      <c r="O43" s="82">
        <f t="shared" si="9"/>
        <v>356.44</v>
      </c>
      <c r="P43" s="151">
        <v>38.192999999999998</v>
      </c>
      <c r="Q43" s="145">
        <v>8</v>
      </c>
      <c r="R43" s="150">
        <v>1.3</v>
      </c>
      <c r="S43" s="84"/>
      <c r="T43" s="16"/>
      <c r="U43" s="22"/>
      <c r="V43" s="290">
        <v>30340</v>
      </c>
      <c r="W43" s="32"/>
      <c r="X43" s="25"/>
    </row>
    <row r="44" spans="1:24" ht="15.75" customHeight="1" x14ac:dyDescent="0.25">
      <c r="A44" s="22"/>
      <c r="B44" s="28"/>
      <c r="C44" s="1" t="s">
        <v>104</v>
      </c>
      <c r="E44" s="62">
        <v>469.69</v>
      </c>
      <c r="F44" s="79">
        <v>3364</v>
      </c>
      <c r="G44" s="77">
        <v>0.251</v>
      </c>
      <c r="H44" s="148">
        <v>309.2</v>
      </c>
      <c r="I44" s="150">
        <v>143.44</v>
      </c>
      <c r="J44" s="148">
        <v>357.45</v>
      </c>
      <c r="K44" s="83">
        <f t="shared" si="10"/>
        <v>85.402000000000001</v>
      </c>
      <c r="L44" s="154">
        <v>1.6233</v>
      </c>
      <c r="M44" s="59">
        <f t="shared" si="8"/>
        <v>387.84</v>
      </c>
      <c r="N44" s="57">
        <f t="shared" si="7"/>
        <v>1.50806</v>
      </c>
      <c r="O44" s="82">
        <f t="shared" si="9"/>
        <v>360.31</v>
      </c>
      <c r="P44" s="151">
        <v>38.192999999999998</v>
      </c>
      <c r="Q44" s="145">
        <v>8.3000000000000007</v>
      </c>
      <c r="R44" s="150">
        <v>1.4</v>
      </c>
      <c r="S44" s="84"/>
      <c r="T44" s="16"/>
      <c r="U44" s="22"/>
      <c r="V44" s="290">
        <v>30710</v>
      </c>
      <c r="W44" s="32"/>
      <c r="X44" s="25"/>
    </row>
    <row r="45" spans="1:24" ht="15.75" customHeight="1" x14ac:dyDescent="0.25">
      <c r="A45" s="22"/>
      <c r="B45" s="28"/>
      <c r="C45" s="11" t="s">
        <v>105</v>
      </c>
      <c r="E45" s="62">
        <v>506.4</v>
      </c>
      <c r="F45" s="79">
        <v>3030</v>
      </c>
      <c r="G45" s="77">
        <v>0.29570000000000002</v>
      </c>
      <c r="H45" s="148">
        <v>341.87</v>
      </c>
      <c r="I45" s="150">
        <v>177.84</v>
      </c>
      <c r="J45" s="148">
        <v>334.78</v>
      </c>
      <c r="K45" s="83">
        <f t="shared" si="10"/>
        <v>79.986000000000004</v>
      </c>
      <c r="L45" s="154">
        <v>1.6151</v>
      </c>
      <c r="M45" s="59">
        <f t="shared" si="8"/>
        <v>385.88</v>
      </c>
      <c r="N45" s="57">
        <f t="shared" si="7"/>
        <v>1.5186200000000001</v>
      </c>
      <c r="O45" s="82">
        <f t="shared" si="9"/>
        <v>362.83</v>
      </c>
      <c r="P45" s="151">
        <v>45.354999999999997</v>
      </c>
      <c r="Q45" s="145">
        <v>7.7</v>
      </c>
      <c r="R45" s="150">
        <v>1.1000000000000001</v>
      </c>
      <c r="S45" s="84"/>
      <c r="T45" s="16"/>
      <c r="U45" s="22"/>
      <c r="V45" s="290">
        <v>32094</v>
      </c>
      <c r="W45" s="32"/>
      <c r="X45" s="25"/>
    </row>
    <row r="46" spans="1:24" ht="15.75" customHeight="1" x14ac:dyDescent="0.25">
      <c r="A46" s="22"/>
      <c r="B46" s="28"/>
      <c r="C46" s="11" t="s">
        <v>106</v>
      </c>
      <c r="E46" s="62">
        <v>539.20000000000005</v>
      </c>
      <c r="F46" s="79">
        <v>2740</v>
      </c>
      <c r="G46" s="77">
        <v>0.35060000000000002</v>
      </c>
      <c r="H46" s="148">
        <v>371.52</v>
      </c>
      <c r="I46" s="150">
        <v>182.6</v>
      </c>
      <c r="J46" s="148">
        <v>317.05</v>
      </c>
      <c r="K46" s="83">
        <f t="shared" si="10"/>
        <v>75.75</v>
      </c>
      <c r="L46" s="154">
        <v>1.6073999999999999</v>
      </c>
      <c r="M46" s="59">
        <f t="shared" si="8"/>
        <v>384.04</v>
      </c>
      <c r="N46" s="57">
        <f t="shared" si="7"/>
        <v>1.5244200000000001</v>
      </c>
      <c r="O46" s="82">
        <f t="shared" si="9"/>
        <v>364.21</v>
      </c>
      <c r="P46" s="151">
        <v>52.515999999999998</v>
      </c>
      <c r="Q46" s="145">
        <v>7</v>
      </c>
      <c r="R46" s="150">
        <v>1</v>
      </c>
      <c r="S46" s="84"/>
      <c r="T46" s="16"/>
      <c r="U46" s="22"/>
      <c r="V46" s="290">
        <v>33087</v>
      </c>
      <c r="W46" s="32"/>
      <c r="X46" s="25"/>
    </row>
    <row r="47" spans="1:24" ht="15.75" customHeight="1" x14ac:dyDescent="0.25">
      <c r="A47" s="22"/>
      <c r="B47" s="28"/>
      <c r="C47" s="11" t="s">
        <v>107</v>
      </c>
      <c r="E47" s="62">
        <v>568.4</v>
      </c>
      <c r="F47" s="79">
        <v>2490</v>
      </c>
      <c r="G47" s="77">
        <v>0.39419999999999999</v>
      </c>
      <c r="H47" s="148">
        <v>398.8</v>
      </c>
      <c r="I47" s="150">
        <v>216.39</v>
      </c>
      <c r="J47" s="148">
        <v>301.23</v>
      </c>
      <c r="K47" s="83">
        <f t="shared" si="10"/>
        <v>71.97</v>
      </c>
      <c r="L47" s="154">
        <v>1.6026</v>
      </c>
      <c r="M47" s="59">
        <f t="shared" si="8"/>
        <v>382.89</v>
      </c>
      <c r="N47" s="57">
        <f t="shared" si="7"/>
        <v>1.5298099999999999</v>
      </c>
      <c r="O47" s="82">
        <f t="shared" si="9"/>
        <v>365.5</v>
      </c>
      <c r="P47" s="151">
        <v>59.677</v>
      </c>
      <c r="Q47" s="145">
        <v>6.5</v>
      </c>
      <c r="R47" s="150">
        <v>0.8</v>
      </c>
      <c r="S47" s="84"/>
      <c r="T47" s="16"/>
      <c r="U47" s="22"/>
      <c r="V47" s="290">
        <v>33857</v>
      </c>
      <c r="W47" s="32"/>
      <c r="X47" s="25"/>
    </row>
    <row r="48" spans="1:24" ht="15.75" customHeight="1" x14ac:dyDescent="0.25">
      <c r="A48" s="22"/>
      <c r="B48" s="28"/>
      <c r="C48" s="11" t="s">
        <v>108</v>
      </c>
      <c r="E48" s="62">
        <v>594.4</v>
      </c>
      <c r="F48" s="79">
        <v>2280</v>
      </c>
      <c r="G48" s="77">
        <v>0.44369999999999998</v>
      </c>
      <c r="H48" s="148">
        <v>423.93</v>
      </c>
      <c r="I48" s="150">
        <v>219.67</v>
      </c>
      <c r="J48" s="148">
        <v>289.26</v>
      </c>
      <c r="K48" s="83">
        <f t="shared" si="10"/>
        <v>69.11</v>
      </c>
      <c r="L48" s="154">
        <v>1.599</v>
      </c>
      <c r="M48" s="59">
        <f t="shared" si="8"/>
        <v>382.03</v>
      </c>
      <c r="N48" s="57">
        <f t="shared" si="7"/>
        <v>1.53417</v>
      </c>
      <c r="O48" s="82">
        <f t="shared" si="9"/>
        <v>366.54</v>
      </c>
      <c r="P48" s="151">
        <v>66.838999999999999</v>
      </c>
      <c r="Q48" s="145">
        <v>5.6</v>
      </c>
      <c r="R48" s="150">
        <v>0.7</v>
      </c>
      <c r="S48" s="84"/>
      <c r="T48" s="16"/>
      <c r="U48" s="22"/>
      <c r="V48" s="290"/>
      <c r="W48" s="32"/>
      <c r="X48" s="25"/>
    </row>
    <row r="49" spans="1:25" ht="15.75" customHeight="1" x14ac:dyDescent="0.25">
      <c r="A49" s="22"/>
      <c r="B49" s="28"/>
      <c r="C49" s="11" t="s">
        <v>109</v>
      </c>
      <c r="E49" s="62">
        <v>617.79999999999995</v>
      </c>
      <c r="F49" s="79">
        <v>2090</v>
      </c>
      <c r="G49" s="77">
        <v>0.49020000000000002</v>
      </c>
      <c r="H49" s="148">
        <v>447.26</v>
      </c>
      <c r="I49" s="150">
        <v>243.52</v>
      </c>
      <c r="J49" s="148">
        <v>276.31</v>
      </c>
      <c r="K49" s="83">
        <f t="shared" si="10"/>
        <v>66.016000000000005</v>
      </c>
      <c r="L49" s="154">
        <v>1.5962000000000001</v>
      </c>
      <c r="M49" s="59">
        <f t="shared" si="8"/>
        <v>381.36</v>
      </c>
      <c r="N49" s="57">
        <f t="shared" si="7"/>
        <v>1.53776</v>
      </c>
      <c r="O49" s="82">
        <f t="shared" si="9"/>
        <v>367.4</v>
      </c>
      <c r="P49" s="151">
        <v>74</v>
      </c>
      <c r="Q49" s="145">
        <v>5.4</v>
      </c>
      <c r="R49" s="150">
        <v>0.7</v>
      </c>
      <c r="S49" s="84"/>
      <c r="T49" s="16"/>
      <c r="U49" s="22"/>
      <c r="V49" s="290"/>
      <c r="W49" s="32"/>
      <c r="X49" s="25"/>
    </row>
    <row r="50" spans="1:25" ht="15.75" customHeight="1" x14ac:dyDescent="0.25">
      <c r="A50" s="22"/>
      <c r="B50" s="28"/>
      <c r="C50" s="1" t="s">
        <v>110</v>
      </c>
      <c r="E50" s="62">
        <v>126.2</v>
      </c>
      <c r="F50" s="79">
        <v>3390</v>
      </c>
      <c r="G50" s="77">
        <v>3.9E-2</v>
      </c>
      <c r="H50" s="151">
        <v>77.352000000000004</v>
      </c>
      <c r="I50" s="149">
        <v>63.152999999999999</v>
      </c>
      <c r="J50" s="148">
        <v>199.08</v>
      </c>
      <c r="K50" s="83">
        <f t="shared" si="10"/>
        <v>47.564</v>
      </c>
      <c r="L50" s="154">
        <v>1.0395000000000001</v>
      </c>
      <c r="M50" s="59">
        <f t="shared" si="8"/>
        <v>248.36</v>
      </c>
      <c r="N50" s="57">
        <f t="shared" si="7"/>
        <v>0.74270000000000003</v>
      </c>
      <c r="O50" s="82">
        <f t="shared" si="9"/>
        <v>177.45</v>
      </c>
      <c r="P50" s="151"/>
      <c r="Q50" s="145"/>
      <c r="R50" s="150"/>
      <c r="S50" s="84"/>
      <c r="T50" s="16"/>
      <c r="U50" s="22"/>
      <c r="V50" s="290"/>
      <c r="W50" s="32"/>
      <c r="X50" s="25"/>
    </row>
    <row r="51" spans="1:25" ht="15.75" customHeight="1" x14ac:dyDescent="0.25">
      <c r="A51" s="22"/>
      <c r="B51" s="28"/>
      <c r="C51" s="11" t="s">
        <v>111</v>
      </c>
      <c r="E51" s="62">
        <v>304.2</v>
      </c>
      <c r="F51" s="79">
        <v>7386</v>
      </c>
      <c r="G51" s="77">
        <v>0.23899999999999999</v>
      </c>
      <c r="H51" s="148">
        <v>194.68600000000001</v>
      </c>
      <c r="I51" s="150">
        <v>216.59</v>
      </c>
      <c r="J51" s="148">
        <v>573.28</v>
      </c>
      <c r="K51" s="82">
        <f>ROUND(J51/$G$6,2)</f>
        <v>136.97</v>
      </c>
      <c r="L51" s="157">
        <v>0.83294000000000001</v>
      </c>
      <c r="M51" s="59">
        <f t="shared" si="8"/>
        <v>199.01</v>
      </c>
      <c r="N51" s="57">
        <f t="shared" si="7"/>
        <v>0.64402000000000004</v>
      </c>
      <c r="O51" s="82">
        <f t="shared" si="9"/>
        <v>153.87</v>
      </c>
      <c r="P51" s="151"/>
      <c r="Q51" s="145"/>
      <c r="R51" s="150"/>
      <c r="S51" s="84"/>
      <c r="T51" s="16"/>
      <c r="U51" s="22"/>
      <c r="V51" s="290"/>
      <c r="W51" s="32"/>
      <c r="X51" s="25"/>
    </row>
    <row r="52" spans="1:25" ht="15.75" customHeight="1" x14ac:dyDescent="0.25">
      <c r="A52" s="22"/>
      <c r="B52" s="28"/>
      <c r="C52" s="11" t="s">
        <v>112</v>
      </c>
      <c r="E52" s="62">
        <v>373.2</v>
      </c>
      <c r="F52" s="79">
        <v>8940</v>
      </c>
      <c r="G52" s="77">
        <v>0.109</v>
      </c>
      <c r="H52" s="148">
        <v>212.88399999999999</v>
      </c>
      <c r="I52" s="150">
        <v>187.67</v>
      </c>
      <c r="J52" s="148">
        <v>548.08000000000004</v>
      </c>
      <c r="K52" s="82">
        <f>ROUND(J52/$G$6,2)</f>
        <v>130.94999999999999</v>
      </c>
      <c r="L52" s="157">
        <v>0.99794000000000005</v>
      </c>
      <c r="M52" s="59">
        <f t="shared" si="8"/>
        <v>238.43</v>
      </c>
      <c r="N52" s="57">
        <f t="shared" si="7"/>
        <v>0.75397999999999998</v>
      </c>
      <c r="O52" s="82">
        <f t="shared" si="9"/>
        <v>180.14</v>
      </c>
      <c r="P52" s="154">
        <v>7.1612999999999998</v>
      </c>
      <c r="Q52" s="145">
        <v>45.5</v>
      </c>
      <c r="R52" s="150">
        <v>4.3</v>
      </c>
      <c r="S52" s="84"/>
      <c r="T52" s="16"/>
      <c r="U52" s="22"/>
      <c r="V52" s="290"/>
      <c r="W52" s="32"/>
      <c r="X52" s="25"/>
    </row>
    <row r="53" spans="1:25" ht="15.75" customHeight="1" x14ac:dyDescent="0.25">
      <c r="A53" s="22"/>
      <c r="B53" s="28"/>
      <c r="C53" s="11" t="s">
        <v>113</v>
      </c>
      <c r="E53" s="62">
        <v>154.58000000000001</v>
      </c>
      <c r="F53" s="79">
        <v>5043</v>
      </c>
      <c r="G53" s="77">
        <v>2.5000000000000001E-2</v>
      </c>
      <c r="H53" s="151">
        <v>90.195999999999998</v>
      </c>
      <c r="I53" s="149">
        <v>54.357999999999997</v>
      </c>
      <c r="J53" s="148">
        <v>213.03</v>
      </c>
      <c r="K53" s="83">
        <f>ROUND(J53/$G$6,3)</f>
        <v>50.896999999999998</v>
      </c>
      <c r="L53" s="157">
        <v>0.91673000000000004</v>
      </c>
      <c r="M53" s="59">
        <f t="shared" si="8"/>
        <v>219.03</v>
      </c>
      <c r="N53" s="57">
        <f t="shared" si="7"/>
        <v>0.65688999999999997</v>
      </c>
      <c r="O53" s="82">
        <f t="shared" si="9"/>
        <v>156.94</v>
      </c>
      <c r="P53" s="151"/>
      <c r="Q53" s="145"/>
      <c r="R53" s="150"/>
      <c r="S53" s="84"/>
      <c r="T53" s="16"/>
      <c r="U53" s="22"/>
      <c r="V53" s="27"/>
      <c r="W53" s="32"/>
      <c r="X53" s="25"/>
    </row>
    <row r="54" spans="1:25" ht="15.75" customHeight="1" x14ac:dyDescent="0.25">
      <c r="A54" s="22"/>
      <c r="B54" s="28"/>
      <c r="C54" s="11" t="s">
        <v>114</v>
      </c>
      <c r="E54" s="62">
        <v>647.14</v>
      </c>
      <c r="F54" s="80">
        <v>22064</v>
      </c>
      <c r="G54" s="77">
        <v>0.32800000000000001</v>
      </c>
      <c r="H54" s="148">
        <v>373.12400000000002</v>
      </c>
      <c r="I54" s="150">
        <v>273.16000000000003</v>
      </c>
      <c r="J54" s="152">
        <v>2256.6</v>
      </c>
      <c r="K54" s="82">
        <f>ROUND(J54/$G$6,2)</f>
        <v>539.15</v>
      </c>
      <c r="L54" s="154">
        <v>1.8616999999999999</v>
      </c>
      <c r="M54" s="59">
        <f t="shared" si="8"/>
        <v>444.8</v>
      </c>
      <c r="N54" s="57">
        <f t="shared" si="7"/>
        <v>1.40018</v>
      </c>
      <c r="O54" s="82">
        <f t="shared" si="9"/>
        <v>334.53</v>
      </c>
      <c r="P54" s="151"/>
      <c r="Q54" s="145"/>
      <c r="R54" s="150"/>
      <c r="S54" s="84"/>
      <c r="T54" s="16"/>
      <c r="U54" s="22"/>
      <c r="V54" s="27"/>
      <c r="W54" s="32"/>
      <c r="X54" s="25"/>
    </row>
    <row r="55" spans="1:25" ht="15.75" customHeight="1" x14ac:dyDescent="0.25">
      <c r="A55" s="22"/>
      <c r="B55" s="28"/>
      <c r="C55" s="1" t="s">
        <v>115</v>
      </c>
      <c r="D55" s="22"/>
      <c r="E55" s="69"/>
      <c r="F55" s="81"/>
      <c r="G55" s="78"/>
      <c r="H55" s="151">
        <v>78.81</v>
      </c>
      <c r="I55" s="153"/>
      <c r="J55" s="148">
        <v>205.16</v>
      </c>
      <c r="K55" s="83">
        <f>ROUND(J55/$G$6,3)</f>
        <v>49.017000000000003</v>
      </c>
      <c r="L55" s="154">
        <v>1.004</v>
      </c>
      <c r="M55" s="59">
        <f t="shared" si="8"/>
        <v>239.88</v>
      </c>
      <c r="N55" s="57">
        <f t="shared" si="7"/>
        <v>0.71692</v>
      </c>
      <c r="O55" s="82">
        <f t="shared" si="9"/>
        <v>171.29</v>
      </c>
      <c r="P55" s="151"/>
      <c r="Q55" s="155"/>
      <c r="R55" s="156"/>
      <c r="S55" s="84"/>
      <c r="T55" s="22"/>
      <c r="U55" s="22"/>
      <c r="V55" s="22"/>
      <c r="W55" s="22"/>
      <c r="X55" s="25"/>
    </row>
    <row r="56" spans="1:25" ht="15" customHeight="1" thickBot="1" x14ac:dyDescent="0.3">
      <c r="B56" s="1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85"/>
      <c r="R56" s="86"/>
      <c r="S56" s="29"/>
      <c r="T56" s="29"/>
      <c r="U56" s="29"/>
      <c r="V56" s="29"/>
      <c r="W56" s="29"/>
      <c r="X56" s="30"/>
      <c r="Y56" s="22"/>
    </row>
    <row r="57" spans="1:25" ht="9.9499999999999993" customHeight="1" thickTop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Y57" s="22"/>
    </row>
    <row r="58" spans="1:25" x14ac:dyDescent="0.25">
      <c r="C58" s="9" t="s">
        <v>141</v>
      </c>
      <c r="D58" s="11" t="s">
        <v>142</v>
      </c>
      <c r="H58" s="11" t="s">
        <v>143</v>
      </c>
      <c r="L58" s="11" t="s">
        <v>144</v>
      </c>
      <c r="Q58" s="11" t="s">
        <v>145</v>
      </c>
    </row>
    <row r="59" spans="1:25" x14ac:dyDescent="0.25">
      <c r="D59" s="12" t="s">
        <v>146</v>
      </c>
      <c r="E59" s="11" t="s">
        <v>147</v>
      </c>
    </row>
  </sheetData>
  <sheetProtection algorithmName="SHA-512" hashValue="Mdcj/O/cnDa0GMnJLkPahNFVIDZKhasrlwHDrPSMmvR/1IAsUyIo2YQxWNNZaL/Pwuc15fBchJMTF62gu2YD9g==" saltValue="ZjD4bGZQskH3ibqeABRn9A==" spinCount="100000" sheet="1" formatCells="0" formatColumns="0" formatRows="0"/>
  <phoneticPr fontId="0" type="noConversion"/>
  <printOptions horizontalCentered="1" verticalCentered="1" gridLinesSet="0"/>
  <pageMargins left="0.19685039370078741" right="0.19685039370078741" top="0.39370078740157483" bottom="0.19685039370078741" header="0.19685039370078741" footer="0"/>
  <pageSetup paperSize="44" scale="58" orientation="landscape" r:id="rId1"/>
  <headerFooter alignWithMargins="0">
    <oddHeader>&amp;L&amp;"Arial,Bold"&amp;20IAPG&amp;"Arial,Bold Italic"&amp;16 - Comisión de Calidad de Gas&amp;R&amp;12&amp;D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2322-DB46-410A-A8FC-483C18EE9BDC}">
  <dimension ref="A1:D15"/>
  <sheetViews>
    <sheetView workbookViewId="0">
      <selection activeCell="C5" sqref="C5"/>
    </sheetView>
  </sheetViews>
  <sheetFormatPr baseColWidth="10" defaultRowHeight="12.75" x14ac:dyDescent="0.2"/>
  <cols>
    <col min="1" max="1" width="22.140625" bestFit="1" customWidth="1"/>
    <col min="2" max="2" width="11.5703125" bestFit="1" customWidth="1"/>
    <col min="3" max="3" width="11.5703125" customWidth="1"/>
  </cols>
  <sheetData>
    <row r="1" spans="1:4" ht="15.75" x14ac:dyDescent="0.2">
      <c r="A1" s="339" t="s">
        <v>250</v>
      </c>
      <c r="B1" s="352" t="s">
        <v>251</v>
      </c>
      <c r="C1" s="352"/>
      <c r="D1" s="352"/>
    </row>
    <row r="2" spans="1:4" ht="15.75" x14ac:dyDescent="0.2">
      <c r="A2" s="22"/>
      <c r="B2" s="340">
        <v>1</v>
      </c>
      <c r="C2" s="340">
        <v>2</v>
      </c>
      <c r="D2" s="340">
        <v>5</v>
      </c>
    </row>
    <row r="3" spans="1:4" ht="15.75" x14ac:dyDescent="0.2">
      <c r="A3" s="341" t="s">
        <v>252</v>
      </c>
      <c r="B3" s="342">
        <v>20</v>
      </c>
      <c r="C3" s="342">
        <v>30</v>
      </c>
      <c r="D3" s="342">
        <v>60</v>
      </c>
    </row>
    <row r="4" spans="1:4" ht="15.75" x14ac:dyDescent="0.2">
      <c r="A4" s="341" t="s">
        <v>253</v>
      </c>
      <c r="B4" s="342">
        <v>25</v>
      </c>
      <c r="C4" s="342">
        <v>40</v>
      </c>
      <c r="D4" s="342">
        <v>80</v>
      </c>
    </row>
    <row r="5" spans="1:4" ht="15.75" x14ac:dyDescent="0.2">
      <c r="A5" s="341" t="s">
        <v>254</v>
      </c>
      <c r="B5" s="342">
        <v>55</v>
      </c>
      <c r="C5" s="342">
        <v>95</v>
      </c>
      <c r="D5" s="342">
        <v>185</v>
      </c>
    </row>
    <row r="7" spans="1:4" ht="18.75" x14ac:dyDescent="0.2">
      <c r="A7" s="343" t="s">
        <v>256</v>
      </c>
    </row>
    <row r="8" spans="1:4" ht="15.75" x14ac:dyDescent="0.2">
      <c r="A8" s="341" t="s">
        <v>257</v>
      </c>
      <c r="B8" s="342">
        <f>+B3+B4</f>
        <v>45</v>
      </c>
      <c r="C8" s="342">
        <f t="shared" ref="C8" si="0">+C3+C4</f>
        <v>70</v>
      </c>
      <c r="D8" s="342">
        <f t="shared" ref="D8" si="1">+D3+D4</f>
        <v>140</v>
      </c>
    </row>
    <row r="9" spans="1:4" ht="15.75" x14ac:dyDescent="0.2">
      <c r="A9" s="341" t="s">
        <v>258</v>
      </c>
      <c r="B9" s="344">
        <f>+'RecC5+'!$G$81*365/1000000*B2</f>
        <v>2.6241327582801279</v>
      </c>
      <c r="C9" s="344">
        <f>+'RecC5+'!$G$81*365/1000000*C2</f>
        <v>5.2482655165602559</v>
      </c>
      <c r="D9" s="344">
        <f>+'RecC5+'!$G$81*365/1000000*D2</f>
        <v>13.12066379140064</v>
      </c>
    </row>
    <row r="10" spans="1:4" ht="15.75" x14ac:dyDescent="0.2">
      <c r="A10" s="341" t="s">
        <v>259</v>
      </c>
      <c r="B10" s="344">
        <f>+B8/B9</f>
        <v>17.148522634004717</v>
      </c>
      <c r="C10" s="344">
        <f t="shared" ref="C10" si="2">+C8/C9</f>
        <v>13.337739826448113</v>
      </c>
      <c r="D10" s="344">
        <f t="shared" ref="D10" si="3">+D8/D9</f>
        <v>10.670191861158489</v>
      </c>
    </row>
    <row r="11" spans="1:4" ht="15.75" x14ac:dyDescent="0.2">
      <c r="A11" s="341"/>
      <c r="B11" s="344"/>
      <c r="C11" s="344"/>
      <c r="D11" s="344"/>
    </row>
    <row r="12" spans="1:4" ht="18.75" x14ac:dyDescent="0.2">
      <c r="A12" s="343" t="s">
        <v>255</v>
      </c>
    </row>
    <row r="13" spans="1:4" ht="15.75" x14ac:dyDescent="0.2">
      <c r="A13" s="341" t="s">
        <v>257</v>
      </c>
      <c r="B13" s="342">
        <f>+B4+B5</f>
        <v>80</v>
      </c>
      <c r="C13" s="342">
        <f t="shared" ref="C13" si="4">+C4+C5</f>
        <v>135</v>
      </c>
      <c r="D13" s="342">
        <f t="shared" ref="D13" si="5">+D4+D5</f>
        <v>265</v>
      </c>
    </row>
    <row r="14" spans="1:4" ht="15.75" x14ac:dyDescent="0.2">
      <c r="A14" s="341" t="s">
        <v>258</v>
      </c>
      <c r="B14" s="344">
        <f>+'RecC3+'!$G$85*365/1000000*B2</f>
        <v>9.0800843375604074</v>
      </c>
      <c r="C14" s="344">
        <f>+'RecC3+'!$G$85*365/1000000*C2</f>
        <v>18.160168675120815</v>
      </c>
      <c r="D14" s="344">
        <f>+'RecC3+'!$G$85*365/1000000*D2</f>
        <v>45.400421687802037</v>
      </c>
    </row>
    <row r="15" spans="1:4" ht="15.75" x14ac:dyDescent="0.2">
      <c r="A15" s="341" t="s">
        <v>259</v>
      </c>
      <c r="B15" s="344">
        <f>+B13/B14</f>
        <v>8.8104908529400294</v>
      </c>
      <c r="C15" s="344">
        <f t="shared" ref="C15" si="6">+C13/C14</f>
        <v>7.4338516571681499</v>
      </c>
      <c r="D15" s="344">
        <f t="shared" ref="D15" si="7">+D13/D14</f>
        <v>5.8369501900727698</v>
      </c>
    </row>
  </sheetData>
  <sheetProtection algorithmName="SHA-512" hashValue="l5NL3l7AA3BAKV1tNgr3CjN1M1cfX/zFXZhGor42yZ52Woa60IuLRsSzEXtFBFqYktRsIa+AsI0fajoseh4w/A==" saltValue="WUtAMJ7OBvmj3CbgkKWK0w==" spinCount="100000" sheet="1" objects="1" scenarios="1"/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Croma</vt:lpstr>
      <vt:lpstr>RecC5+</vt:lpstr>
      <vt:lpstr>RecC3+</vt:lpstr>
      <vt:lpstr>Propiedades</vt:lpstr>
      <vt:lpstr>Repago</vt:lpstr>
      <vt:lpstr>Croma!Área_de_impresión</vt:lpstr>
      <vt:lpstr>Propiedades!Área_de_impresión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TECPETROL S.A.</dc:creator>
  <cp:lastModifiedBy>Carlos Casares</cp:lastModifiedBy>
  <cp:lastPrinted>1998-11-19T13:03:57Z</cp:lastPrinted>
  <dcterms:created xsi:type="dcterms:W3CDTF">1998-05-27T15:22:04Z</dcterms:created>
  <dcterms:modified xsi:type="dcterms:W3CDTF">2023-07-23T16:24:32Z</dcterms:modified>
</cp:coreProperties>
</file>